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27" i="1" l="1"/>
  <c r="G25" i="1"/>
  <c r="G19" i="1"/>
  <c r="G18" i="1"/>
  <c r="G16" i="1"/>
  <c r="G14" i="1"/>
  <c r="G28" i="1"/>
  <c r="F28" i="1"/>
  <c r="G21" i="1"/>
  <c r="F21" i="1"/>
  <c r="F18" i="1"/>
  <c r="F14" i="1"/>
  <c r="G36" i="1"/>
  <c r="F36" i="1"/>
  <c r="G30" i="1"/>
  <c r="F30" i="1"/>
  <c r="F27" i="1"/>
  <c r="G26" i="1"/>
  <c r="F26" i="1"/>
  <c r="F25" i="1"/>
  <c r="G24" i="1"/>
  <c r="F24" i="1"/>
  <c r="G23" i="1"/>
  <c r="F23" i="1"/>
  <c r="G22" i="1"/>
  <c r="F22" i="1"/>
  <c r="G20" i="1"/>
  <c r="F20" i="1"/>
  <c r="F19" i="1"/>
  <c r="G17" i="1"/>
  <c r="F17" i="1"/>
  <c r="G15" i="1"/>
  <c r="F15" i="1"/>
  <c r="G10" i="1"/>
  <c r="F10" i="1"/>
  <c r="C21" i="1"/>
  <c r="C36" i="1"/>
  <c r="C30" i="1" l="1"/>
  <c r="C29" i="1" l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0" i="1"/>
  <c r="G38" i="1" l="1"/>
  <c r="F38" i="1"/>
  <c r="E38" i="1"/>
  <c r="E36" i="1"/>
  <c r="H36" i="1" s="1"/>
  <c r="E33" i="1"/>
  <c r="H33" i="1" s="1"/>
  <c r="E32" i="1"/>
  <c r="H32" i="1" s="1"/>
  <c r="E31" i="1"/>
  <c r="H31" i="1" s="1"/>
  <c r="E30" i="1"/>
  <c r="H30" i="1" s="1"/>
  <c r="G29" i="1"/>
  <c r="F29" i="1"/>
  <c r="D29" i="1"/>
  <c r="E29" i="1" s="1"/>
  <c r="E28" i="1"/>
  <c r="H28" i="1" s="1"/>
  <c r="E27" i="1"/>
  <c r="H27" i="1" s="1"/>
  <c r="D26" i="1"/>
  <c r="E26" i="1" s="1"/>
  <c r="H26" i="1" s="1"/>
  <c r="D25" i="1"/>
  <c r="E25" i="1" s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D18" i="1"/>
  <c r="E18" i="1" s="1"/>
  <c r="H18" i="1" s="1"/>
  <c r="E17" i="1"/>
  <c r="H17" i="1" s="1"/>
  <c r="F16" i="1"/>
  <c r="D16" i="1"/>
  <c r="E16" i="1" s="1"/>
  <c r="H16" i="1" s="1"/>
  <c r="D15" i="1"/>
  <c r="E15" i="1"/>
  <c r="H15" i="1" s="1"/>
  <c r="E14" i="1"/>
  <c r="H14" i="1" s="1"/>
  <c r="G13" i="1"/>
  <c r="G40" i="1" s="1"/>
  <c r="F13" i="1"/>
  <c r="D13" i="1"/>
  <c r="C40" i="1"/>
  <c r="D12" i="1"/>
  <c r="E12" i="1" s="1"/>
  <c r="H12" i="1" s="1"/>
  <c r="E11" i="1"/>
  <c r="H11" i="1" s="1"/>
  <c r="E10" i="1"/>
  <c r="H10" i="1" s="1"/>
  <c r="H29" i="1" l="1"/>
  <c r="F40" i="1"/>
  <c r="H38" i="1"/>
  <c r="D40" i="1"/>
  <c r="E13" i="1"/>
  <c r="H13" i="1" s="1"/>
  <c r="H40" i="1" l="1"/>
  <c r="E40" i="1"/>
</calcChain>
</file>

<file path=xl/sharedStrings.xml><?xml version="1.0" encoding="utf-8"?>
<sst xmlns="http://schemas.openxmlformats.org/spreadsheetml/2006/main" count="67" uniqueCount="67">
  <si>
    <t>Gobierno del Estado de México</t>
  </si>
  <si>
    <t>Estado Analítico  del Ejercicio del Presupuesto de Egresos</t>
  </si>
  <si>
    <t>Clasificación Administrativa</t>
  </si>
  <si>
    <t xml:space="preserve"> Preliminares</t>
  </si>
  <si>
    <t>Del 1 de Enero al 31 de Marzo de 2019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</si>
  <si>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</si>
  <si>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</si>
  <si>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</si>
  <si>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</si>
  <si>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</si>
  <si>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</si>
  <si>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</si>
  <si>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</si>
  <si>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</si>
  <si>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</si>
  <si>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</si>
  <si>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</si>
  <si>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</si>
  <si>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</si>
  <si>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</si>
  <si>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</si>
  <si>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</si>
  <si>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</si>
  <si>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</si>
  <si>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</si>
  <si>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</si>
  <si>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</si>
  <si>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</si>
  <si>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</si>
  <si>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</si>
  <si>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</si>
  <si>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</si>
  <si>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</si>
  <si>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</si>
  <si>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</si>
  <si>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</si>
  <si>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212</t>
  </si>
  <si>
    <t>Secretaría de Desarrollo Urbano y Metropolitano</t>
  </si>
  <si>
    <t>213</t>
  </si>
  <si>
    <t>Secretaria de Comunicaciones</t>
  </si>
  <si>
    <t>214</t>
  </si>
  <si>
    <t>Secretaría de Desarrollo Agropecuario</t>
  </si>
  <si>
    <t>215</t>
  </si>
  <si>
    <t>Secretaría de Desarrollo Económico</t>
  </si>
  <si>
    <t>216</t>
  </si>
  <si>
    <t>Secretaría de Turismo</t>
  </si>
  <si>
    <t>217</t>
  </si>
  <si>
    <t>Secretaría de Cultura</t>
  </si>
  <si>
    <t>218</t>
  </si>
  <si>
    <t>Secretaría de la Contraloría</t>
  </si>
  <si>
    <t>219</t>
  </si>
  <si>
    <t>Secretaria de Obra Pública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</si>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</sst>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2"/>
      <color theme="1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" xfId="0" applyNumberFormat="1" applyFont="1" applyBorder="1"/>
    <xf numFmtId="164" fontId="3" fillId="0" borderId="4" xfId="0" applyNumberFormat="1" applyFont="1" applyBorder="1"/>
    <xf numFmtId="164" fontId="3" fillId="0" borderId="9" xfId="1" applyNumberFormat="1" applyFont="1" applyBorder="1"/>
    <xf numFmtId="164" fontId="3" fillId="0" borderId="4" xfId="1" applyNumberFormat="1" applyFont="1" applyBorder="1"/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43" fontId="0" fillId="0" borderId="0" xfId="1" applyFont="1"/>
    <xf numFmtId="43" fontId="0" fillId="0" borderId="0" xfId="0" applyNumberFormat="1"/>
    <xf numFmtId="4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left" wrapText="1"/>
    </xf>
    <xf numFmtId="0" fontId="4" fillId="0" borderId="0" xfId="0" applyFont="1"/>
    <xf numFmtId="164" fontId="0" fillId="0" borderId="0" xfId="0" applyNumberFormat="1"/>
    <xf numFmtId="49" fontId="3" fillId="0" borderId="14" xfId="0" applyNumberFormat="1" applyFont="1" applyBorder="1"/>
    <xf numFmtId="164" fontId="3" fillId="0" borderId="14" xfId="0" applyNumberFormat="1" applyFont="1" applyBorder="1"/>
    <xf numFmtId="164" fontId="3" fillId="0" borderId="14" xfId="1" applyNumberFormat="1" applyFont="1" applyFill="1" applyBorder="1"/>
    <xf numFmtId="49" fontId="2" fillId="2" borderId="12" xfId="0" applyNumberFormat="1" applyFont="1" applyFill="1" applyBorder="1" applyAlignment="1">
      <alignment horizontal="right"/>
    </xf>
    <xf numFmtId="164" fontId="5" fillId="2" borderId="12" xfId="0" applyNumberFormat="1" applyFont="1" applyFill="1" applyBorder="1"/>
    <xf numFmtId="164" fontId="5" fillId="2" borderId="11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0" fillId="0" borderId="0" xfId="0" applyBorder="1"/>
    <xf numFmtId="43" fontId="6" fillId="0" borderId="0" xfId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4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B15" sqref="B15"/>
    </sheetView>
  </sheetViews>
  <sheetFormatPr baseColWidth="10" defaultRowHeight="15" x14ac:dyDescent="0.25"/>
  <cols>
    <col min="1" max="1" width="16" style="17" customWidth="1"/>
    <col min="2" max="2" width="57.7109375" style="17" customWidth="1"/>
    <col min="3" max="3" width="18.5703125" style="17" bestFit="1" customWidth="1"/>
    <col min="4" max="4" width="19.28515625" style="17" customWidth="1"/>
    <col min="5" max="5" width="18.5703125" style="17" bestFit="1" customWidth="1"/>
    <col min="6" max="6" width="18.140625" style="17" customWidth="1"/>
    <col min="7" max="8" width="15.85546875" style="17" bestFit="1" customWidth="1"/>
    <col min="10" max="10" width="20.7109375" style="12" bestFit="1" customWidth="1"/>
    <col min="11" max="11" width="17.42578125" style="12" bestFit="1" customWidth="1"/>
    <col min="12" max="12" width="18.42578125" bestFit="1" customWidth="1"/>
    <col min="13" max="13" width="8.85546875" bestFit="1" customWidth="1"/>
    <col min="14" max="14" width="17.42578125" style="12" bestFit="1" customWidth="1"/>
  </cols>
  <sheetData>
    <row r="1" spans="1:14" x14ac:dyDescent="0.25">
      <c r="A1" s="31" t="s">
        <v>0</v>
      </c>
      <c r="B1" s="32"/>
      <c r="C1" s="32"/>
      <c r="D1" s="32"/>
      <c r="E1" s="32"/>
      <c r="F1" s="32"/>
      <c r="G1" s="32"/>
      <c r="H1" s="33"/>
      <c r="J1"/>
      <c r="K1"/>
      <c r="N1"/>
    </row>
    <row r="2" spans="1:14" x14ac:dyDescent="0.25">
      <c r="A2" s="34" t="s">
        <v>1</v>
      </c>
      <c r="B2" s="35"/>
      <c r="C2" s="35"/>
      <c r="D2" s="35"/>
      <c r="E2" s="35"/>
      <c r="F2" s="35"/>
      <c r="G2" s="35"/>
      <c r="H2" s="36"/>
      <c r="J2"/>
      <c r="K2"/>
      <c r="N2"/>
    </row>
    <row r="3" spans="1:14" x14ac:dyDescent="0.25">
      <c r="A3" s="34" t="s">
        <v>2</v>
      </c>
      <c r="B3" s="35"/>
      <c r="C3" s="35"/>
      <c r="D3" s="35"/>
      <c r="E3" s="35"/>
      <c r="F3" s="35"/>
      <c r="G3" s="35"/>
      <c r="H3" s="36"/>
      <c r="J3"/>
      <c r="K3"/>
      <c r="N3"/>
    </row>
    <row r="4" spans="1:14" x14ac:dyDescent="0.25">
      <c r="A4" s="34" t="s">
        <v>3</v>
      </c>
      <c r="B4" s="35"/>
      <c r="C4" s="35"/>
      <c r="D4" s="35"/>
      <c r="E4" s="35"/>
      <c r="F4" s="35"/>
      <c r="G4" s="35"/>
      <c r="H4" s="36"/>
      <c r="J4"/>
      <c r="K4"/>
      <c r="N4"/>
    </row>
    <row r="5" spans="1:14" x14ac:dyDescent="0.25">
      <c r="A5" s="34" t="s">
        <v>4</v>
      </c>
      <c r="B5" s="35"/>
      <c r="C5" s="35"/>
      <c r="D5" s="35"/>
      <c r="E5" s="35"/>
      <c r="F5" s="35"/>
      <c r="G5" s="35"/>
      <c r="H5" s="36"/>
      <c r="J5"/>
      <c r="K5"/>
      <c r="N5"/>
    </row>
    <row r="6" spans="1:14" ht="15.75" thickBot="1" x14ac:dyDescent="0.3">
      <c r="A6" s="34" t="s">
        <v>5</v>
      </c>
      <c r="B6" s="35"/>
      <c r="C6" s="37"/>
      <c r="D6" s="37"/>
      <c r="E6" s="37"/>
      <c r="F6" s="37"/>
      <c r="G6" s="37"/>
      <c r="H6" s="38"/>
      <c r="J6"/>
      <c r="K6"/>
      <c r="N6"/>
    </row>
    <row r="7" spans="1:14" ht="15.75" thickBot="1" x14ac:dyDescent="0.3">
      <c r="A7" s="39"/>
      <c r="B7" s="39"/>
      <c r="C7" s="37" t="s">
        <v>6</v>
      </c>
      <c r="D7" s="37"/>
      <c r="E7" s="37"/>
      <c r="F7" s="37"/>
      <c r="G7" s="38"/>
      <c r="H7" s="40"/>
      <c r="J7"/>
      <c r="K7"/>
      <c r="N7"/>
    </row>
    <row r="8" spans="1:14" ht="26.25" thickBot="1" x14ac:dyDescent="0.3">
      <c r="A8" s="41"/>
      <c r="B8" s="42" t="s">
        <v>7</v>
      </c>
      <c r="C8" s="43" t="s">
        <v>8</v>
      </c>
      <c r="D8" s="44" t="s">
        <v>9</v>
      </c>
      <c r="E8" s="45" t="s">
        <v>10</v>
      </c>
      <c r="F8" s="44" t="s">
        <v>11</v>
      </c>
      <c r="G8" s="46" t="s">
        <v>12</v>
      </c>
      <c r="H8" s="47" t="s">
        <v>13</v>
      </c>
      <c r="J8"/>
      <c r="K8"/>
      <c r="N8"/>
    </row>
    <row r="9" spans="1:14" ht="15.75" thickBot="1" x14ac:dyDescent="0.3">
      <c r="A9" s="48"/>
      <c r="B9" s="48"/>
      <c r="C9" s="49">
        <v>1</v>
      </c>
      <c r="D9" s="50">
        <v>2</v>
      </c>
      <c r="E9" s="50" t="s">
        <v>14</v>
      </c>
      <c r="F9" s="50">
        <v>4</v>
      </c>
      <c r="G9" s="51"/>
      <c r="H9" s="52" t="s">
        <v>15</v>
      </c>
      <c r="J9"/>
      <c r="K9"/>
      <c r="N9"/>
    </row>
    <row r="10" spans="1:14" x14ac:dyDescent="0.25">
      <c r="A10" s="1" t="s">
        <v>16</v>
      </c>
      <c r="B10" s="2" t="s">
        <v>17</v>
      </c>
      <c r="C10" s="3">
        <f>63408.3+1536624</f>
        <v>1600032.3</v>
      </c>
      <c r="D10" s="4">
        <v>-3397</v>
      </c>
      <c r="E10" s="5">
        <f>+C10+D10</f>
        <v>1596635.3</v>
      </c>
      <c r="F10" s="4">
        <f>7331.4+119500</f>
        <v>126831.4</v>
      </c>
      <c r="G10" s="6">
        <f>6952+119500</f>
        <v>126452</v>
      </c>
      <c r="H10" s="5">
        <f>+E10-F10</f>
        <v>1469803.9000000001</v>
      </c>
      <c r="J10"/>
      <c r="K10"/>
      <c r="N10"/>
    </row>
    <row r="11" spans="1:14" x14ac:dyDescent="0.25">
      <c r="A11" s="1" t="s">
        <v>18</v>
      </c>
      <c r="B11" s="2" t="s">
        <v>19</v>
      </c>
      <c r="C11" s="3">
        <v>80444.7</v>
      </c>
      <c r="D11" s="5">
        <v>0</v>
      </c>
      <c r="E11" s="5">
        <f>+C11+D11</f>
        <v>80444.7</v>
      </c>
      <c r="F11" s="5">
        <v>9839.1</v>
      </c>
      <c r="G11" s="7">
        <v>9839.1</v>
      </c>
      <c r="H11" s="5">
        <f>+E11-F11</f>
        <v>70605.599999999991</v>
      </c>
      <c r="J11"/>
      <c r="K11"/>
      <c r="N11"/>
    </row>
    <row r="12" spans="1:14" x14ac:dyDescent="0.25">
      <c r="A12" s="1" t="s">
        <v>20</v>
      </c>
      <c r="B12" s="2" t="s">
        <v>21</v>
      </c>
      <c r="C12" s="3">
        <v>148487.29999999999</v>
      </c>
      <c r="D12" s="8">
        <f>4460.5-4460.5</f>
        <v>0</v>
      </c>
      <c r="E12" s="5">
        <f>+C12+D12</f>
        <v>148487.29999999999</v>
      </c>
      <c r="F12" s="8">
        <v>20403.900000000001</v>
      </c>
      <c r="G12" s="9">
        <v>20403.900000000001</v>
      </c>
      <c r="H12" s="5">
        <f t="shared" ref="H12:H33" si="0">+E12-F12</f>
        <v>128083.4</v>
      </c>
      <c r="J12"/>
      <c r="K12"/>
      <c r="N12"/>
    </row>
    <row r="13" spans="1:14" x14ac:dyDescent="0.25">
      <c r="A13" s="1" t="s">
        <v>22</v>
      </c>
      <c r="B13" s="2" t="s">
        <v>23</v>
      </c>
      <c r="C13" s="3">
        <f>1532951.8+82872.8+100000</f>
        <v>1715824.6</v>
      </c>
      <c r="D13" s="8">
        <f>20074.5-20074.5</f>
        <v>0</v>
      </c>
      <c r="E13" s="5">
        <f t="shared" ref="E13:E33" si="1">+C13+D13</f>
        <v>1715824.6</v>
      </c>
      <c r="F13" s="10">
        <f>163176+20568.5</f>
        <v>183744.5</v>
      </c>
      <c r="G13" s="11">
        <f>163113.9+20568.5</f>
        <v>183682.4</v>
      </c>
      <c r="H13" s="5">
        <f t="shared" si="0"/>
        <v>1532080.1</v>
      </c>
      <c r="J13"/>
      <c r="K13"/>
      <c r="N13"/>
    </row>
    <row r="14" spans="1:14" x14ac:dyDescent="0.25">
      <c r="A14" s="1" t="s">
        <v>24</v>
      </c>
      <c r="B14" s="2" t="s">
        <v>25</v>
      </c>
      <c r="C14" s="3">
        <f>11715415.1+93565.9+398374.1+3980746.1</f>
        <v>16188101.199999999</v>
      </c>
      <c r="D14" s="8">
        <v>0</v>
      </c>
      <c r="E14" s="5">
        <f t="shared" si="1"/>
        <v>16188101.199999999</v>
      </c>
      <c r="F14" s="10">
        <f>2049100.1+27393.2+50471.3+1202948.9</f>
        <v>3329913.5</v>
      </c>
      <c r="G14" s="11">
        <f>2049100.1+27393.2+50471.3</f>
        <v>2126964.6</v>
      </c>
      <c r="H14" s="5">
        <f t="shared" si="0"/>
        <v>12858187.699999999</v>
      </c>
      <c r="J14"/>
      <c r="K14"/>
      <c r="N14"/>
    </row>
    <row r="15" spans="1:14" x14ac:dyDescent="0.25">
      <c r="A15" s="1" t="s">
        <v>26</v>
      </c>
      <c r="B15" s="2" t="s">
        <v>27</v>
      </c>
      <c r="C15" s="3">
        <f>11611359.6+164253.5+1038953.8+3115318.9+46303728.5+10237426.8+2204315.4</f>
        <v>74675356.5</v>
      </c>
      <c r="D15" s="10">
        <f>279615.7-79615.7</f>
        <v>200000</v>
      </c>
      <c r="E15" s="5">
        <f t="shared" si="1"/>
        <v>74875356.5</v>
      </c>
      <c r="F15" s="10">
        <f>6167429.1+17825+135191.3+1338320.8+11896266.4+3355170.1+142347.1</f>
        <v>23052549.800000004</v>
      </c>
      <c r="G15" s="11">
        <f>6055280.5+17825+135191.3+1338320.8+11809655+3355170.1+142347.1</f>
        <v>22853789.800000004</v>
      </c>
      <c r="H15" s="5">
        <f t="shared" si="0"/>
        <v>51822806.699999996</v>
      </c>
      <c r="J15"/>
      <c r="K15"/>
      <c r="N15"/>
    </row>
    <row r="16" spans="1:14" x14ac:dyDescent="0.25">
      <c r="A16" s="1" t="s">
        <v>28</v>
      </c>
      <c r="B16" s="2" t="s">
        <v>29</v>
      </c>
      <c r="C16" s="3">
        <f>129989.2+28904625.8+2628.3</f>
        <v>29037243.300000001</v>
      </c>
      <c r="D16" s="8">
        <f>14363.3-140754.6</f>
        <v>-126391.3</v>
      </c>
      <c r="E16" s="5">
        <f t="shared" si="1"/>
        <v>28910852</v>
      </c>
      <c r="F16" s="8">
        <f>13099.5+6496967.6</f>
        <v>6510067.0999999996</v>
      </c>
      <c r="G16" s="11">
        <f>13099.5+6496967.6-500000</f>
        <v>6010067.0999999996</v>
      </c>
      <c r="H16" s="5">
        <f t="shared" si="0"/>
        <v>22400784.899999999</v>
      </c>
      <c r="J16"/>
      <c r="K16"/>
      <c r="N16"/>
    </row>
    <row r="17" spans="1:14" x14ac:dyDescent="0.25">
      <c r="A17" s="1" t="s">
        <v>30</v>
      </c>
      <c r="B17" s="2" t="s">
        <v>31</v>
      </c>
      <c r="C17" s="3">
        <f>359181.8+409633.6+40000</f>
        <v>808815.39999999991</v>
      </c>
      <c r="D17" s="8">
        <v>352961.7</v>
      </c>
      <c r="E17" s="5">
        <f t="shared" si="1"/>
        <v>1161777.0999999999</v>
      </c>
      <c r="F17" s="8">
        <f>31012.1+54562.7+40000</f>
        <v>125574.79999999999</v>
      </c>
      <c r="G17" s="11">
        <f>31012.1+54562.7+40000</f>
        <v>125574.79999999999</v>
      </c>
      <c r="H17" s="5">
        <f t="shared" si="0"/>
        <v>1036202.2999999998</v>
      </c>
      <c r="J17"/>
      <c r="K17"/>
      <c r="N17"/>
    </row>
    <row r="18" spans="1:14" x14ac:dyDescent="0.25">
      <c r="A18" s="1" t="s">
        <v>32</v>
      </c>
      <c r="B18" s="2" t="s">
        <v>33</v>
      </c>
      <c r="C18" s="3">
        <f>44426517.4+39406332.3+1309372.8</f>
        <v>85142222.499999985</v>
      </c>
      <c r="D18" s="8">
        <f>4552.9-4552.9</f>
        <v>0</v>
      </c>
      <c r="E18" s="5">
        <f t="shared" si="1"/>
        <v>85142222.499999985</v>
      </c>
      <c r="F18" s="10">
        <f>9172534.9+7800521.7</f>
        <v>16973056.600000001</v>
      </c>
      <c r="G18" s="11">
        <f>9172534.9+7800521.7-436985</f>
        <v>16536071.600000001</v>
      </c>
      <c r="H18" s="5">
        <f t="shared" si="0"/>
        <v>68169165.899999976</v>
      </c>
      <c r="J18"/>
      <c r="N18"/>
    </row>
    <row r="19" spans="1:14" x14ac:dyDescent="0.25">
      <c r="A19" s="1" t="s">
        <v>34</v>
      </c>
      <c r="B19" s="2" t="s">
        <v>35</v>
      </c>
      <c r="C19" s="3">
        <f>514833.9+304503.7+5432765.2</f>
        <v>6252102.8000000007</v>
      </c>
      <c r="D19" s="10">
        <v>0</v>
      </c>
      <c r="E19" s="5">
        <f t="shared" si="1"/>
        <v>6252102.8000000007</v>
      </c>
      <c r="F19" s="10">
        <f>61490.6+16272.8+5143124.2</f>
        <v>5220887.6000000006</v>
      </c>
      <c r="G19" s="11">
        <f>61490.6+16272.8+5143124.2-125989</f>
        <v>5094898.6000000006</v>
      </c>
      <c r="H19" s="5">
        <f t="shared" si="0"/>
        <v>1031215.2000000002</v>
      </c>
      <c r="J19"/>
      <c r="N19"/>
    </row>
    <row r="20" spans="1:14" x14ac:dyDescent="0.25">
      <c r="A20" s="1" t="s">
        <v>36</v>
      </c>
      <c r="B20" s="2" t="s">
        <v>37</v>
      </c>
      <c r="C20" s="3">
        <f>313770.3+322524.1+87725.1+217118.7</f>
        <v>941138.2</v>
      </c>
      <c r="D20" s="8">
        <v>0</v>
      </c>
      <c r="E20" s="5">
        <f t="shared" si="1"/>
        <v>941138.2</v>
      </c>
      <c r="F20" s="8">
        <f>48381.2+71459.5+5896.8</f>
        <v>125737.5</v>
      </c>
      <c r="G20" s="11">
        <f>48381.2+71459.5+5896.8</f>
        <v>125737.5</v>
      </c>
      <c r="H20" s="5">
        <f t="shared" si="0"/>
        <v>815400.7</v>
      </c>
      <c r="J20"/>
      <c r="N20"/>
    </row>
    <row r="21" spans="1:14" x14ac:dyDescent="0.25">
      <c r="A21" s="1" t="s">
        <v>38</v>
      </c>
      <c r="B21" s="2" t="s">
        <v>39</v>
      </c>
      <c r="C21" s="3">
        <f>919319.5+3167018.4+1910685.9+146428.7</f>
        <v>6143452.5</v>
      </c>
      <c r="D21" s="8">
        <v>46</v>
      </c>
      <c r="E21" s="5">
        <f t="shared" si="1"/>
        <v>6143498.5</v>
      </c>
      <c r="F21" s="8">
        <f>125519.9+262158+1533074.2</f>
        <v>1920752.1</v>
      </c>
      <c r="G21" s="11">
        <f>125519.9+262158+1533074.2</f>
        <v>1920752.1</v>
      </c>
      <c r="H21" s="5">
        <f t="shared" si="0"/>
        <v>4222746.4000000004</v>
      </c>
      <c r="J21"/>
      <c r="L21" s="13"/>
      <c r="N21"/>
    </row>
    <row r="22" spans="1:14" x14ac:dyDescent="0.25">
      <c r="A22" s="1" t="s">
        <v>40</v>
      </c>
      <c r="B22" s="2" t="s">
        <v>41</v>
      </c>
      <c r="C22" s="3">
        <f>566604.4+47282.1+1888421.9</f>
        <v>2502308.4</v>
      </c>
      <c r="D22" s="8">
        <v>0</v>
      </c>
      <c r="E22" s="5">
        <f t="shared" si="1"/>
        <v>2502308.4</v>
      </c>
      <c r="F22" s="8">
        <f>56265.5+14381.4+435897</f>
        <v>506543.9</v>
      </c>
      <c r="G22" s="11">
        <f>56194+14381.4+435897</f>
        <v>506472.4</v>
      </c>
      <c r="H22" s="5">
        <f t="shared" si="0"/>
        <v>1995764.5</v>
      </c>
      <c r="J22"/>
      <c r="N22"/>
    </row>
    <row r="23" spans="1:14" x14ac:dyDescent="0.25">
      <c r="A23" s="1" t="s">
        <v>42</v>
      </c>
      <c r="B23" s="2" t="s">
        <v>43</v>
      </c>
      <c r="C23" s="3">
        <f>243898.4+30340.6+50837.2228395</f>
        <v>325076.2228395</v>
      </c>
      <c r="D23" s="8">
        <v>0</v>
      </c>
      <c r="E23" s="5">
        <f t="shared" si="1"/>
        <v>325076.2228395</v>
      </c>
      <c r="F23" s="8">
        <f>27672.3+12999.5+7257.7+35113.6</f>
        <v>83043.100000000006</v>
      </c>
      <c r="G23" s="11">
        <f>27672.3+12999.5+7257.7+35113.6</f>
        <v>83043.100000000006</v>
      </c>
      <c r="H23" s="5">
        <f t="shared" si="0"/>
        <v>242033.12283949999</v>
      </c>
      <c r="J23"/>
      <c r="N23"/>
    </row>
    <row r="24" spans="1:14" x14ac:dyDescent="0.25">
      <c r="A24" s="1" t="s">
        <v>44</v>
      </c>
      <c r="B24" s="2" t="s">
        <v>45</v>
      </c>
      <c r="C24" s="3">
        <f>257980.4+78051.6+123652.8</f>
        <v>459684.8</v>
      </c>
      <c r="D24" s="8">
        <v>0</v>
      </c>
      <c r="E24" s="5">
        <f t="shared" si="1"/>
        <v>459684.8</v>
      </c>
      <c r="F24" s="8">
        <f>9404.5+16222.4+64103.2</f>
        <v>89730.1</v>
      </c>
      <c r="G24" s="11">
        <f>9404.5+16222.4+64103.2</f>
        <v>89730.1</v>
      </c>
      <c r="H24" s="5">
        <f t="shared" si="0"/>
        <v>369954.69999999995</v>
      </c>
      <c r="J24"/>
      <c r="N24"/>
    </row>
    <row r="25" spans="1:14" x14ac:dyDescent="0.25">
      <c r="A25" s="1" t="s">
        <v>46</v>
      </c>
      <c r="B25" s="2" t="s">
        <v>47</v>
      </c>
      <c r="C25" s="3">
        <f>1531695.6+1374609.4</f>
        <v>2906305</v>
      </c>
      <c r="D25" s="8">
        <f>74399.2-74399.2</f>
        <v>0</v>
      </c>
      <c r="E25" s="5">
        <f t="shared" si="1"/>
        <v>2906305</v>
      </c>
      <c r="F25" s="8">
        <f>106276+1084991.9</f>
        <v>1191267.8999999999</v>
      </c>
      <c r="G25" s="11">
        <f>106276+1084991.9-120000</f>
        <v>1071267.8999999999</v>
      </c>
      <c r="H25" s="5">
        <f t="shared" si="0"/>
        <v>1715037.1</v>
      </c>
      <c r="J25"/>
      <c r="N25"/>
    </row>
    <row r="26" spans="1:14" x14ac:dyDescent="0.25">
      <c r="A26" s="1" t="s">
        <v>48</v>
      </c>
      <c r="B26" s="2" t="s">
        <v>49</v>
      </c>
      <c r="C26" s="3">
        <f>374591.1+15613.4</f>
        <v>390204.5</v>
      </c>
      <c r="D26" s="8">
        <f>1803.2-1803.2</f>
        <v>0</v>
      </c>
      <c r="E26" s="5">
        <f t="shared" si="1"/>
        <v>390204.5</v>
      </c>
      <c r="F26" s="8">
        <f>55415.8+689.8</f>
        <v>56105.600000000006</v>
      </c>
      <c r="G26" s="11">
        <f>52365.5+689.8</f>
        <v>53055.3</v>
      </c>
      <c r="H26" s="5">
        <f t="shared" si="0"/>
        <v>334098.90000000002</v>
      </c>
      <c r="J26"/>
      <c r="N26"/>
    </row>
    <row r="27" spans="1:14" x14ac:dyDescent="0.25">
      <c r="A27" s="1" t="s">
        <v>50</v>
      </c>
      <c r="B27" s="14" t="s">
        <v>51</v>
      </c>
      <c r="C27" s="3">
        <f>312514.8+201903.8+2991.2+1620460.5</f>
        <v>2137870.2999999998</v>
      </c>
      <c r="D27" s="8">
        <v>0</v>
      </c>
      <c r="E27" s="5">
        <f t="shared" si="1"/>
        <v>2137870.2999999998</v>
      </c>
      <c r="F27" s="8">
        <f>42129.4+51193+1306290.9</f>
        <v>1399613.2999999998</v>
      </c>
      <c r="G27" s="11">
        <f>42129.4+51193+1306290.9-200271.9</f>
        <v>1199341.3999999999</v>
      </c>
      <c r="H27" s="5">
        <f t="shared" si="0"/>
        <v>738257</v>
      </c>
      <c r="N27"/>
    </row>
    <row r="28" spans="1:14" x14ac:dyDescent="0.25">
      <c r="A28" s="15" t="s">
        <v>52</v>
      </c>
      <c r="B28" s="2" t="s">
        <v>53</v>
      </c>
      <c r="C28" s="3">
        <f>1008324.8+131000</f>
        <v>1139324.8</v>
      </c>
      <c r="D28" s="8">
        <v>140000</v>
      </c>
      <c r="E28" s="5">
        <f t="shared" si="1"/>
        <v>1279324.8</v>
      </c>
      <c r="F28" s="8">
        <f>94610.7</f>
        <v>94610.7</v>
      </c>
      <c r="G28" s="11">
        <f>94610.4</f>
        <v>94610.4</v>
      </c>
      <c r="H28" s="5">
        <f t="shared" si="0"/>
        <v>1184714.1000000001</v>
      </c>
      <c r="N28"/>
    </row>
    <row r="29" spans="1:14" x14ac:dyDescent="0.25">
      <c r="A29" s="1" t="s">
        <v>54</v>
      </c>
      <c r="B29" s="2" t="s">
        <v>55</v>
      </c>
      <c r="C29" s="3">
        <f>1292052.3+405746.9+120885.2</f>
        <v>1818684.4000000001</v>
      </c>
      <c r="D29" s="8">
        <f>60046.6-46.6</f>
        <v>60000</v>
      </c>
      <c r="E29" s="5">
        <f t="shared" si="1"/>
        <v>1878684.4000000001</v>
      </c>
      <c r="F29" s="8">
        <f>105906.2+145794.8</f>
        <v>251701</v>
      </c>
      <c r="G29" s="11">
        <f>105906.2+145794.8</f>
        <v>251701</v>
      </c>
      <c r="H29" s="5">
        <f t="shared" si="0"/>
        <v>1626983.4000000001</v>
      </c>
      <c r="N29"/>
    </row>
    <row r="30" spans="1:14" x14ac:dyDescent="0.25">
      <c r="A30" s="1" t="s">
        <v>56</v>
      </c>
      <c r="B30" s="2" t="s">
        <v>57</v>
      </c>
      <c r="C30" s="3">
        <f>1255036.4+15000+6962.5</f>
        <v>1276998.8999999999</v>
      </c>
      <c r="D30" s="5">
        <v>0</v>
      </c>
      <c r="E30" s="5">
        <f t="shared" si="1"/>
        <v>1276998.8999999999</v>
      </c>
      <c r="F30" s="5">
        <f>167757.9+34568.2</f>
        <v>202326.09999999998</v>
      </c>
      <c r="G30" s="11">
        <f>167484.9+34568.2</f>
        <v>202053.09999999998</v>
      </c>
      <c r="H30" s="5">
        <f t="shared" si="0"/>
        <v>1074672.7999999998</v>
      </c>
      <c r="N30"/>
    </row>
    <row r="31" spans="1:14" x14ac:dyDescent="0.25">
      <c r="A31" s="1" t="s">
        <v>58</v>
      </c>
      <c r="B31" s="2" t="s">
        <v>59</v>
      </c>
      <c r="C31" s="3">
        <v>57414.9</v>
      </c>
      <c r="D31" s="5">
        <v>0</v>
      </c>
      <c r="E31" s="5">
        <f t="shared" si="1"/>
        <v>57414.9</v>
      </c>
      <c r="F31" s="5">
        <v>9889.7000000000007</v>
      </c>
      <c r="G31" s="11">
        <v>9889.7000000000007</v>
      </c>
      <c r="H31" s="5">
        <f t="shared" si="0"/>
        <v>47525.2</v>
      </c>
      <c r="N31"/>
    </row>
    <row r="32" spans="1:14" x14ac:dyDescent="0.25">
      <c r="A32" s="1" t="s">
        <v>60</v>
      </c>
      <c r="B32" s="2" t="s">
        <v>61</v>
      </c>
      <c r="C32" s="3">
        <v>40714.1</v>
      </c>
      <c r="D32" s="5">
        <v>0</v>
      </c>
      <c r="E32" s="5">
        <f t="shared" si="1"/>
        <v>40714.1</v>
      </c>
      <c r="F32" s="5">
        <v>7053.2</v>
      </c>
      <c r="G32" s="11">
        <v>7053.2</v>
      </c>
      <c r="H32" s="5">
        <f t="shared" si="0"/>
        <v>33660.9</v>
      </c>
      <c r="N32"/>
    </row>
    <row r="33" spans="1:14" ht="26.25" x14ac:dyDescent="0.25">
      <c r="A33" s="1" t="s">
        <v>62</v>
      </c>
      <c r="B33" s="16" t="s">
        <v>63</v>
      </c>
      <c r="C33" s="3">
        <v>103195.4</v>
      </c>
      <c r="D33" s="5">
        <v>0</v>
      </c>
      <c r="E33" s="5">
        <f t="shared" si="1"/>
        <v>103195.4</v>
      </c>
      <c r="F33" s="5">
        <v>15513.9</v>
      </c>
      <c r="G33" s="11">
        <v>15513.9</v>
      </c>
      <c r="H33" s="5">
        <f t="shared" si="0"/>
        <v>87681.5</v>
      </c>
      <c r="N33"/>
    </row>
    <row r="34" spans="1:14" x14ac:dyDescent="0.25">
      <c r="A34" s="2"/>
      <c r="C34" s="5"/>
      <c r="D34" s="5"/>
      <c r="E34" s="5"/>
      <c r="F34" s="5"/>
      <c r="G34" s="7"/>
      <c r="H34" s="5"/>
      <c r="L34" s="18"/>
      <c r="N34"/>
    </row>
    <row r="35" spans="1:14" x14ac:dyDescent="0.25">
      <c r="A35" s="2"/>
      <c r="B35" s="2"/>
      <c r="C35" s="5"/>
      <c r="D35" s="5"/>
      <c r="E35" s="5"/>
      <c r="F35" s="5"/>
      <c r="G35" s="7"/>
      <c r="H35" s="5"/>
      <c r="I35" s="18"/>
      <c r="L35" s="18"/>
      <c r="M35" s="18"/>
      <c r="N35"/>
    </row>
    <row r="36" spans="1:14" ht="17.25" customHeight="1" x14ac:dyDescent="0.25">
      <c r="A36" s="2"/>
      <c r="B36" s="2" t="s">
        <v>64</v>
      </c>
      <c r="C36" s="5">
        <f>11170531.1+139838+193757.3</f>
        <v>11504126.4</v>
      </c>
      <c r="D36" s="5">
        <v>0</v>
      </c>
      <c r="E36" s="5">
        <f t="shared" ref="E36:E38" si="2">+C36+D36</f>
        <v>11504126.4</v>
      </c>
      <c r="F36" s="5">
        <f>2588181+20600</f>
        <v>2608781</v>
      </c>
      <c r="G36" s="5">
        <f>2588181+20600</f>
        <v>2608781</v>
      </c>
      <c r="H36" s="5">
        <f>+E36-F36</f>
        <v>8895345.4000000004</v>
      </c>
      <c r="L36" s="18"/>
      <c r="N36"/>
    </row>
    <row r="37" spans="1:14" x14ac:dyDescent="0.25">
      <c r="A37" s="2"/>
      <c r="B37" s="2"/>
      <c r="C37" s="5"/>
      <c r="D37" s="5"/>
      <c r="E37" s="5"/>
      <c r="F37" s="5"/>
      <c r="G37" s="5"/>
      <c r="H37" s="5"/>
      <c r="L37" s="18"/>
      <c r="N37"/>
    </row>
    <row r="38" spans="1:14" x14ac:dyDescent="0.25">
      <c r="A38" s="2"/>
      <c r="B38" s="2" t="s">
        <v>65</v>
      </c>
      <c r="C38" s="5">
        <v>4942490</v>
      </c>
      <c r="D38" s="5">
        <v>0</v>
      </c>
      <c r="E38" s="5">
        <f t="shared" si="2"/>
        <v>4942490</v>
      </c>
      <c r="F38" s="5">
        <f>537968.8+621110.5</f>
        <v>1159079.3</v>
      </c>
      <c r="G38" s="5">
        <f>537968.8+621110.5</f>
        <v>1159079.3</v>
      </c>
      <c r="H38" s="5">
        <f>+E38-F38</f>
        <v>3783410.7</v>
      </c>
      <c r="L38" s="18"/>
      <c r="N38"/>
    </row>
    <row r="39" spans="1:14" ht="15.75" thickBot="1" x14ac:dyDescent="0.3">
      <c r="A39" s="2"/>
      <c r="B39" s="19"/>
      <c r="C39" s="20"/>
      <c r="D39" s="20"/>
      <c r="E39" s="20"/>
      <c r="F39" s="20"/>
      <c r="G39" s="21"/>
      <c r="H39" s="5"/>
      <c r="L39" s="18"/>
      <c r="M39" s="13"/>
      <c r="N39"/>
    </row>
    <row r="40" spans="1:14" ht="13.5" customHeight="1" thickBot="1" x14ac:dyDescent="0.3">
      <c r="A40" s="22" t="s">
        <v>66</v>
      </c>
      <c r="B40" s="22"/>
      <c r="C40" s="23">
        <f t="shared" ref="C40:H40" si="3">SUM(C10:C39)</f>
        <v>252337619.42283955</v>
      </c>
      <c r="D40" s="23">
        <f t="shared" si="3"/>
        <v>623219.4</v>
      </c>
      <c r="E40" s="23">
        <f t="shared" si="3"/>
        <v>252960838.82283956</v>
      </c>
      <c r="F40" s="23">
        <f>SUM(F10:F39)</f>
        <v>65274616.70000001</v>
      </c>
      <c r="G40" s="24">
        <f t="shared" si="3"/>
        <v>62485825.300000012</v>
      </c>
      <c r="H40" s="23">
        <f t="shared" si="3"/>
        <v>187686222.12283942</v>
      </c>
      <c r="L40" s="18"/>
      <c r="N40"/>
    </row>
    <row r="41" spans="1:14" x14ac:dyDescent="0.25">
      <c r="A41" s="25"/>
      <c r="B41" s="25"/>
      <c r="C41" s="25"/>
      <c r="D41" s="25"/>
      <c r="E41" s="25"/>
      <c r="F41" s="25"/>
      <c r="G41" s="26"/>
      <c r="H41" s="25"/>
      <c r="I41" s="18"/>
      <c r="L41" s="18"/>
      <c r="N41"/>
    </row>
    <row r="42" spans="1:14" x14ac:dyDescent="0.25">
      <c r="A42" s="25"/>
      <c r="B42" s="27"/>
      <c r="C42" s="3"/>
      <c r="D42" s="3"/>
      <c r="E42" s="3"/>
      <c r="F42" s="3"/>
      <c r="G42" s="3"/>
      <c r="H42" s="3"/>
      <c r="I42" s="28"/>
      <c r="J42" s="29"/>
      <c r="L42" s="30"/>
      <c r="N42"/>
    </row>
    <row r="43" spans="1:14" x14ac:dyDescent="0.25">
      <c r="A43" s="25"/>
      <c r="B43" s="27"/>
      <c r="C43" s="3"/>
      <c r="D43" s="3"/>
      <c r="E43" s="3"/>
      <c r="F43" s="3"/>
      <c r="G43" s="3"/>
      <c r="H43" s="3"/>
      <c r="I43" s="28"/>
      <c r="J43" s="29"/>
      <c r="L43" s="30"/>
      <c r="N43"/>
    </row>
  </sheetData>
  <mergeCells count="7">
    <mergeCell ref="C7:G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2019-05-19T22:23:23Z</cp:lastPrinted>
  <dcterms:created xsi:type="dcterms:W3CDTF">2019-05-19T20:07:46Z</dcterms:created>
  <dcterms:modified xsi:type="dcterms:W3CDTF">2019-05-19T22:55:16Z</dcterms:modified>
</cp:coreProperties>
</file>