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Formato 6b" sheetId="7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 l="1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4" i="7"/>
  <c r="H13" i="7"/>
  <c r="G32" i="7" l="1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G17" i="7"/>
  <c r="E17" i="7"/>
  <c r="F17" i="7" s="1"/>
  <c r="D17" i="7"/>
  <c r="H62" i="7" l="1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E59" i="7"/>
  <c r="D59" i="7"/>
  <c r="D38" i="7" l="1"/>
  <c r="D32" i="7" l="1"/>
  <c r="G31" i="7"/>
  <c r="D58" i="7"/>
  <c r="E31" i="7"/>
  <c r="D31" i="7"/>
  <c r="G24" i="7"/>
  <c r="E21" i="7"/>
  <c r="E48" i="7"/>
  <c r="D21" i="7"/>
  <c r="D48" i="7"/>
  <c r="E44" i="7" l="1"/>
  <c r="F44" i="7" s="1"/>
  <c r="G44" i="7"/>
  <c r="D44" i="7"/>
  <c r="E32" i="7"/>
  <c r="G59" i="7"/>
  <c r="G58" i="7"/>
  <c r="D15" i="7"/>
  <c r="D14" i="7"/>
  <c r="D41" i="7"/>
  <c r="D22" i="7"/>
  <c r="D49" i="7"/>
  <c r="D24" i="7"/>
  <c r="G38" i="7" l="1"/>
  <c r="H38" i="7"/>
  <c r="G55" i="7"/>
  <c r="G52" i="7"/>
  <c r="D52" i="7"/>
  <c r="G28" i="7"/>
  <c r="D28" i="7"/>
  <c r="G25" i="7"/>
  <c r="D25" i="7"/>
  <c r="H11" i="7" l="1"/>
  <c r="H65" i="7" s="1"/>
  <c r="G11" i="7"/>
  <c r="G65" i="7" s="1"/>
  <c r="F13" i="7"/>
  <c r="E11" i="7"/>
  <c r="D11" i="7"/>
  <c r="F11" i="7" l="1"/>
  <c r="I11" i="7" s="1"/>
  <c r="G30" i="7"/>
  <c r="I60" i="7" l="1"/>
  <c r="I57" i="7"/>
  <c r="I56" i="7"/>
  <c r="I54" i="7"/>
  <c r="I53" i="7"/>
  <c r="I51" i="7"/>
  <c r="I50" i="7"/>
  <c r="I47" i="7"/>
  <c r="I46" i="7"/>
  <c r="I45" i="7"/>
  <c r="I43" i="7"/>
  <c r="I63" i="7"/>
  <c r="I62" i="7"/>
  <c r="I61" i="7"/>
  <c r="I40" i="7"/>
  <c r="F41" i="7"/>
  <c r="I41" i="7" s="1"/>
  <c r="F63" i="7"/>
  <c r="F62" i="7"/>
  <c r="F61" i="7"/>
  <c r="F60" i="7"/>
  <c r="F59" i="7"/>
  <c r="I59" i="7" s="1"/>
  <c r="F58" i="7"/>
  <c r="I58" i="7" s="1"/>
  <c r="F57" i="7"/>
  <c r="F56" i="7"/>
  <c r="F55" i="7"/>
  <c r="I55" i="7" s="1"/>
  <c r="F54" i="7"/>
  <c r="F53" i="7"/>
  <c r="F52" i="7"/>
  <c r="I52" i="7" s="1"/>
  <c r="F51" i="7"/>
  <c r="F50" i="7"/>
  <c r="F49" i="7"/>
  <c r="I49" i="7" s="1"/>
  <c r="F48" i="7"/>
  <c r="I48" i="7" s="1"/>
  <c r="F47" i="7"/>
  <c r="F46" i="7"/>
  <c r="F45" i="7"/>
  <c r="I44" i="7"/>
  <c r="F43" i="7"/>
  <c r="I42" i="7"/>
  <c r="F40" i="7"/>
  <c r="F36" i="7"/>
  <c r="E38" i="7"/>
  <c r="D65" i="7" l="1"/>
  <c r="F38" i="7"/>
  <c r="I38" i="7" s="1"/>
  <c r="E65" i="7"/>
  <c r="F65" i="7" l="1"/>
  <c r="I65" i="7" s="1"/>
  <c r="F14" i="7" l="1"/>
  <c r="F15" i="7"/>
  <c r="F16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</calcChain>
</file>

<file path=xl/sharedStrings.xml><?xml version="1.0" encoding="utf-8"?>
<sst xmlns="http://schemas.openxmlformats.org/spreadsheetml/2006/main" count="66" uniqueCount="42">
  <si>
    <t>Concepto (c)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</si>
  <si>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</si>
  <si>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</si>
  <si>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</si>
  <si>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</si>
  <si>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</si>
  <si>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</si>
  <si>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</si>
  <si>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</si>
  <si>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</si>
  <si>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</t>
  </si>
  <si>
    <t>(Clasificación Administrativa)</t>
  </si>
  <si>
    <t>Clasificación Administrativa</t>
  </si>
  <si>
    <t>A. GUBERNATURA</t>
  </si>
  <si>
    <t>Del 1 de enero al 31 de diciembre de 2016 (b)</t>
  </si>
  <si>
    <t>B. SECRETARÍA GENERAL DE GOBIERNO</t>
  </si>
  <si>
    <t>D. SECRETARÍA DEL TRABAJO</t>
  </si>
  <si>
    <t>E. SECRETARÍA DE EDUCACIÓN</t>
  </si>
  <si>
    <t>F. SECRETARÍA DE DESARROLLO AGROPECUARIO</t>
  </si>
  <si>
    <t>G. SECRETARÍA DE DESARROLLO ECONOMICO</t>
  </si>
  <si>
    <t>H. SECRETARÍA DE LA CONTRALORIA</t>
  </si>
  <si>
    <t>I. SECRETARÍA DEL MEDIO AMBIENTE</t>
  </si>
  <si>
    <t>J. PROCURADORIA GENERAL DE JUSTICIA</t>
  </si>
  <si>
    <t>K. COORDINACIÓN GENERAL DE COMUNICACIÓN SOCIAL</t>
  </si>
  <si>
    <t>L. SECRETARÍA DE DESARROLLO SOCIAL</t>
  </si>
  <si>
    <t>M. SECRETARÍA DE SALUD</t>
  </si>
  <si>
    <t>N. SECRETARÍA TÉCNICA DEL GABINETE</t>
  </si>
  <si>
    <t>C.SECRETARÍA DE FINANZAS</t>
  </si>
  <si>
    <t>Ñ. SECRETARÍA DE MOVILIDAD</t>
  </si>
  <si>
    <t>O SECRETARÍA DE DESARROLLO URBANO  Y METROPOLITANO</t>
  </si>
  <si>
    <t>P. SECRETARÍA DE TURISMO</t>
  </si>
  <si>
    <t>Q. CONSEJERIA JURIDICA DEL EJECUTIVO ESTATAL</t>
  </si>
  <si>
    <t>R. SECRETARÍA DE CULTURA</t>
  </si>
  <si>
    <t>S. SECRETARÍA DE INFRAESTRUCTURA</t>
  </si>
  <si>
    <t>T. TRIBUNAL DE LO CONTENCIOSO AEDMINISTRATIVO</t>
  </si>
  <si>
    <t>U. JUNTA LOCAL DE CONCILIACIÓN Y ARBITRAJE VALLE DE TOLUCA</t>
  </si>
  <si>
    <t>V. JUNTA LOCAL DE CONCILIACIÓN  Y ARBITRAJE DEL VALLE DE CUAUTITLAN TEXCOCO</t>
  </si>
  <si>
    <t>W.TRIBUNAL ESTATAL DE CONCILIACIÓN Y ARBITRAJE</t>
  </si>
  <si>
    <t>II. Gasto Etiquetado
(II=A+B+C+D+E+F+G+H+I+J+K+L+M+N+Ñ+O+P+Q+R+S+T+U+V+W)</t>
  </si>
  <si>
    <t>I. Gasto No Etiquetado
(I=A+B+C+D+E+F+G+H+I+J+K+L+M+N+Ñ+O+P+Q+R+S+T+U+V+W)</t>
  </si>
  <si>
    <t>Gobierno del Estado de México</t>
  </si>
  <si>
    <t>(Miles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</si>
</sst>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#,##0.0_ ;\-#,##0.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6"/>
      <color theme="1"/>
      <name val="Gotham Book"/>
    </font>
    <font>
      <sz val="6"/>
      <color theme="1"/>
      <name val="Gotham Book"/>
    </font>
    <font>
      <sz val="11"/>
      <color theme="1"/>
      <name val="Gotham Book"/>
    </font>
    <font>
      <b/>
      <sz val="8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3" fontId="4" fillId="0" borderId="0" xfId="0" applyNumberFormat="1" applyFont="1"/>
    <xf numFmtId="165" fontId="4" fillId="0" borderId="0" xfId="1" applyNumberFormat="1" applyFont="1"/>
    <xf numFmtId="165" fontId="1" fillId="0" borderId="0" xfId="1" applyNumberFormat="1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vertical="center" wrapText="1"/>
    </xf>
    <xf numFmtId="164" fontId="6" fillId="0" borderId="5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164" fontId="5" fillId="0" borderId="14" xfId="0" applyNumberFormat="1" applyFont="1" applyBorder="1" applyAlignment="1">
      <alignment vertical="center" wrapText="1"/>
    </xf>
    <xf numFmtId="164" fontId="6" fillId="0" borderId="14" xfId="0" applyNumberFormat="1" applyFont="1" applyBorder="1" applyAlignment="1">
      <alignment vertical="center" wrapText="1"/>
    </xf>
    <xf numFmtId="0" fontId="7" fillId="0" borderId="13" xfId="0" applyFont="1" applyBorder="1"/>
    <xf numFmtId="164" fontId="6" fillId="0" borderId="14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zoomScale="120" zoomScaleNormal="120" workbookViewId="0">
      <selection activeCell="E9" sqref="E9"/>
    </sheetView>
  </sheetViews>
  <sheetFormatPr baseColWidth="10" defaultColWidth="0" defaultRowHeight="14.25" zeroHeight="1" x14ac:dyDescent="0.2"/>
  <cols>
    <col min="1" max="2" width="2.7109375" style="1" customWidth="1"/>
    <col min="3" max="3" width="37.85546875" style="1" customWidth="1"/>
    <col min="4" max="4" width="18.7109375" style="1" customWidth="1"/>
    <col min="5" max="5" width="14" style="1" customWidth="1"/>
    <col min="6" max="6" width="13.42578125" style="1" customWidth="1"/>
    <col min="7" max="7" width="16.28515625" style="1" bestFit="1" customWidth="1"/>
    <col min="8" max="8" width="19" style="1" customWidth="1"/>
    <col min="9" max="9" width="13.28515625" style="1" customWidth="1"/>
    <col min="10" max="10" width="0.85546875" style="1" customWidth="1"/>
    <col min="11" max="16384" width="11.42578125" style="1" hidden="1"/>
  </cols>
  <sheetData>
    <row r="1" spans="2:10" ht="15" x14ac:dyDescent="0.2">
      <c r="B1" s="9" t="s">
        <v>10</v>
      </c>
      <c r="C1" s="9"/>
      <c r="D1" s="9"/>
      <c r="E1" s="9"/>
      <c r="F1" s="9"/>
      <c r="G1" s="9"/>
      <c r="H1" s="9"/>
      <c r="I1" s="9"/>
    </row>
    <row r="2" spans="2:10" ht="15" x14ac:dyDescent="0.25">
      <c r="B2" s="10" t="s">
        <v>11</v>
      </c>
      <c r="C2" s="10"/>
      <c r="D2" s="10"/>
      <c r="E2" s="10"/>
      <c r="F2" s="10"/>
      <c r="G2" s="10"/>
      <c r="H2" s="10"/>
      <c r="I2" s="10"/>
    </row>
    <row r="3" spans="2:10" ht="14.1" customHeight="1" x14ac:dyDescent="0.2">
      <c r="B3" s="24" t="s">
        <v>40</v>
      </c>
      <c r="C3" s="24"/>
      <c r="D3" s="24"/>
      <c r="E3" s="24"/>
      <c r="F3" s="24"/>
      <c r="G3" s="24"/>
      <c r="H3" s="24"/>
      <c r="I3" s="24"/>
    </row>
    <row r="4" spans="2:10" ht="14.1" customHeight="1" x14ac:dyDescent="0.2">
      <c r="B4" s="24" t="s">
        <v>5</v>
      </c>
      <c r="C4" s="24"/>
      <c r="D4" s="24"/>
      <c r="E4" s="24"/>
      <c r="F4" s="24"/>
      <c r="G4" s="24"/>
      <c r="H4" s="24"/>
      <c r="I4" s="24"/>
    </row>
    <row r="5" spans="2:10" ht="14.1" customHeight="1" x14ac:dyDescent="0.2">
      <c r="B5" s="24" t="s">
        <v>12</v>
      </c>
      <c r="C5" s="24"/>
      <c r="D5" s="24"/>
      <c r="E5" s="24"/>
      <c r="F5" s="24"/>
      <c r="G5" s="24"/>
      <c r="H5" s="24"/>
      <c r="I5" s="24"/>
    </row>
    <row r="6" spans="2:10" ht="14.1" customHeight="1" x14ac:dyDescent="0.2">
      <c r="B6" s="24" t="s">
        <v>14</v>
      </c>
      <c r="C6" s="24"/>
      <c r="D6" s="24"/>
      <c r="E6" s="24"/>
      <c r="F6" s="24"/>
      <c r="G6" s="24"/>
      <c r="H6" s="24"/>
      <c r="I6" s="24"/>
    </row>
    <row r="7" spans="2:10" ht="14.1" customHeight="1" thickBot="1" x14ac:dyDescent="0.25">
      <c r="B7" s="24" t="s">
        <v>41</v>
      </c>
      <c r="C7" s="24"/>
      <c r="D7" s="24"/>
      <c r="E7" s="24"/>
      <c r="F7" s="24"/>
      <c r="G7" s="24"/>
      <c r="H7" s="24"/>
      <c r="I7" s="24"/>
    </row>
    <row r="8" spans="2:10" ht="15" customHeight="1" x14ac:dyDescent="0.2">
      <c r="B8" s="25" t="s">
        <v>0</v>
      </c>
      <c r="C8" s="26"/>
      <c r="D8" s="26" t="s">
        <v>6</v>
      </c>
      <c r="E8" s="26"/>
      <c r="F8" s="26"/>
      <c r="G8" s="26"/>
      <c r="H8" s="26"/>
      <c r="I8" s="27" t="s">
        <v>7</v>
      </c>
    </row>
    <row r="9" spans="2:10" ht="21" customHeight="1" x14ac:dyDescent="0.2">
      <c r="B9" s="28"/>
      <c r="C9" s="22"/>
      <c r="D9" s="23" t="s">
        <v>8</v>
      </c>
      <c r="E9" s="23" t="s">
        <v>3</v>
      </c>
      <c r="F9" s="23" t="s">
        <v>4</v>
      </c>
      <c r="G9" s="23" t="s">
        <v>1</v>
      </c>
      <c r="H9" s="23" t="s">
        <v>2</v>
      </c>
      <c r="I9" s="29"/>
    </row>
    <row r="10" spans="2:10" ht="8.1" customHeight="1" x14ac:dyDescent="0.2">
      <c r="B10" s="30"/>
      <c r="C10" s="11"/>
      <c r="D10" s="12"/>
      <c r="E10" s="12"/>
      <c r="F10" s="12"/>
      <c r="G10" s="12"/>
      <c r="H10" s="12"/>
      <c r="I10" s="31"/>
    </row>
    <row r="11" spans="2:10" ht="30" customHeight="1" x14ac:dyDescent="0.2">
      <c r="B11" s="32" t="s">
        <v>39</v>
      </c>
      <c r="C11" s="13"/>
      <c r="D11" s="14">
        <f>SUM(D13:D36)</f>
        <v>69578444.034860015</v>
      </c>
      <c r="E11" s="14">
        <f>SUM(E13:E36)</f>
        <v>23918648.95567001</v>
      </c>
      <c r="F11" s="14">
        <f>D11+E11</f>
        <v>93497092.990530029</v>
      </c>
      <c r="G11" s="14">
        <f>SUM(G13:G36)</f>
        <v>88820774.374099985</v>
      </c>
      <c r="H11" s="14">
        <f>SUM(H13:H36)</f>
        <v>86360113.574099958</v>
      </c>
      <c r="I11" s="33">
        <f>F11-G11</f>
        <v>4676318.6164300442</v>
      </c>
    </row>
    <row r="12" spans="2:10" ht="8.1" customHeight="1" x14ac:dyDescent="0.2">
      <c r="B12" s="32"/>
      <c r="C12" s="13"/>
      <c r="D12" s="15"/>
      <c r="E12" s="15"/>
      <c r="F12" s="15"/>
      <c r="G12" s="15"/>
      <c r="H12" s="15"/>
      <c r="I12" s="34"/>
    </row>
    <row r="13" spans="2:10" x14ac:dyDescent="0.2">
      <c r="B13" s="35"/>
      <c r="C13" s="16" t="s">
        <v>13</v>
      </c>
      <c r="D13" s="17">
        <v>1705814.3312000001</v>
      </c>
      <c r="E13" s="17">
        <v>95338.003949999998</v>
      </c>
      <c r="F13" s="17">
        <f>D13+E13</f>
        <v>1801152.3351500002</v>
      </c>
      <c r="G13" s="17">
        <v>1781605.1160700002</v>
      </c>
      <c r="H13" s="17">
        <f>+G13-18598.4</f>
        <v>1763006.7160700003</v>
      </c>
      <c r="I13" s="36">
        <f>+F13-G13</f>
        <v>19547.219079999952</v>
      </c>
      <c r="J13" s="2"/>
    </row>
    <row r="14" spans="2:10" x14ac:dyDescent="0.2">
      <c r="B14" s="35"/>
      <c r="C14" s="16" t="s">
        <v>15</v>
      </c>
      <c r="D14" s="17">
        <f>9408749.447-2436.6</f>
        <v>9406312.847000001</v>
      </c>
      <c r="E14" s="17">
        <v>885239.51467000006</v>
      </c>
      <c r="F14" s="17">
        <f t="shared" ref="F14:F31" si="0">D14+E14</f>
        <v>10291552.36167</v>
      </c>
      <c r="G14" s="17">
        <v>10253153.686889999</v>
      </c>
      <c r="H14" s="17">
        <f>+G14-126516.2</f>
        <v>10126637.486889999</v>
      </c>
      <c r="I14" s="36">
        <f t="shared" ref="I14:I36" si="1">+F14-G14</f>
        <v>38398.674780001864</v>
      </c>
      <c r="J14" s="2"/>
    </row>
    <row r="15" spans="2:10" x14ac:dyDescent="0.2">
      <c r="B15" s="35"/>
      <c r="C15" s="16" t="s">
        <v>27</v>
      </c>
      <c r="D15" s="17">
        <f>8767798.26674+23.1</f>
        <v>8767821.3667399995</v>
      </c>
      <c r="E15" s="17">
        <v>868209.43908999988</v>
      </c>
      <c r="F15" s="17">
        <f>D15+E15</f>
        <v>9636030.80583</v>
      </c>
      <c r="G15" s="17">
        <v>9246556.7621800005</v>
      </c>
      <c r="H15" s="17">
        <f>+G15-208423.6-223544.7</f>
        <v>8814588.4621800017</v>
      </c>
      <c r="I15" s="36">
        <f t="shared" si="1"/>
        <v>389474.04364999942</v>
      </c>
      <c r="J15" s="2"/>
    </row>
    <row r="16" spans="2:10" x14ac:dyDescent="0.2">
      <c r="B16" s="35"/>
      <c r="C16" s="16" t="s">
        <v>16</v>
      </c>
      <c r="D16" s="17">
        <v>572928.57499999995</v>
      </c>
      <c r="E16" s="17">
        <v>88516.663820000002</v>
      </c>
      <c r="F16" s="17">
        <f t="shared" si="0"/>
        <v>661445.23881999997</v>
      </c>
      <c r="G16" s="17">
        <v>654260.35970999999</v>
      </c>
      <c r="H16" s="17">
        <f>+G16-65442.6</f>
        <v>588817.75971000001</v>
      </c>
      <c r="I16" s="36">
        <f t="shared" si="1"/>
        <v>7184.8791099999798</v>
      </c>
      <c r="J16" s="2"/>
    </row>
    <row r="17" spans="2:10" x14ac:dyDescent="0.2">
      <c r="B17" s="35"/>
      <c r="C17" s="16" t="s">
        <v>17</v>
      </c>
      <c r="D17" s="17">
        <f>67566956.85113-29811394.4-720094.9-448308.1-9839690.18+6000000-1501637</f>
        <v>31245832.271129996</v>
      </c>
      <c r="E17" s="17">
        <f>12429262.94707-6000000-169712+2076254.9</f>
        <v>8335805.8470700011</v>
      </c>
      <c r="F17" s="17">
        <f>D17+E17</f>
        <v>39581638.118199997</v>
      </c>
      <c r="G17" s="17">
        <f>79503888.54168-9895958.8-109985-29811394.4-720094.9-448308.1+279095.8</f>
        <v>38797243.141679995</v>
      </c>
      <c r="H17" s="17">
        <f>+G17-864808.5</f>
        <v>37932434.641679995</v>
      </c>
      <c r="I17" s="36">
        <f t="shared" si="1"/>
        <v>784394.97652000189</v>
      </c>
      <c r="J17" s="2"/>
    </row>
    <row r="18" spans="2:10" x14ac:dyDescent="0.2">
      <c r="B18" s="35"/>
      <c r="C18" s="16" t="s">
        <v>18</v>
      </c>
      <c r="D18" s="17">
        <v>1732409.4620000001</v>
      </c>
      <c r="E18" s="17">
        <v>222713.98521000001</v>
      </c>
      <c r="F18" s="17">
        <f t="shared" si="0"/>
        <v>1955123.4472100001</v>
      </c>
      <c r="G18" s="17">
        <v>1952393.8550800001</v>
      </c>
      <c r="H18" s="17">
        <f>+G18-5643.1</f>
        <v>1946750.75508</v>
      </c>
      <c r="I18" s="36">
        <f t="shared" si="1"/>
        <v>2729.5921300000045</v>
      </c>
      <c r="J18" s="2"/>
    </row>
    <row r="19" spans="2:10" x14ac:dyDescent="0.2">
      <c r="B19" s="35"/>
      <c r="C19" s="16" t="s">
        <v>19</v>
      </c>
      <c r="D19" s="17">
        <v>671053.51699999999</v>
      </c>
      <c r="E19" s="17">
        <v>-267214.83512</v>
      </c>
      <c r="F19" s="17">
        <f t="shared" si="0"/>
        <v>403838.68187999999</v>
      </c>
      <c r="G19" s="17">
        <v>399426.99469999998</v>
      </c>
      <c r="H19" s="17">
        <f>+G19-6525.8</f>
        <v>392901.19469999999</v>
      </c>
      <c r="I19" s="36">
        <f t="shared" si="1"/>
        <v>4411.6871800000081</v>
      </c>
      <c r="J19" s="2"/>
    </row>
    <row r="20" spans="2:10" x14ac:dyDescent="0.2">
      <c r="B20" s="35"/>
      <c r="C20" s="16" t="s">
        <v>20</v>
      </c>
      <c r="D20" s="17">
        <v>297106.79657000001</v>
      </c>
      <c r="E20" s="17">
        <v>63517.385560000002</v>
      </c>
      <c r="F20" s="17">
        <f t="shared" si="0"/>
        <v>360624.18213000003</v>
      </c>
      <c r="G20" s="17">
        <v>349966.16381</v>
      </c>
      <c r="H20" s="17">
        <f>+G20-2926.5</f>
        <v>347039.66381</v>
      </c>
      <c r="I20" s="36">
        <f t="shared" si="1"/>
        <v>10658.018320000032</v>
      </c>
      <c r="J20" s="2"/>
    </row>
    <row r="21" spans="2:10" x14ac:dyDescent="0.2">
      <c r="B21" s="35"/>
      <c r="C21" s="16" t="s">
        <v>21</v>
      </c>
      <c r="D21" s="17">
        <f>1246892.575+16962</f>
        <v>1263854.575</v>
      </c>
      <c r="E21" s="17">
        <f>298666.59183+16962</f>
        <v>315628.59182999999</v>
      </c>
      <c r="F21" s="17">
        <f t="shared" si="0"/>
        <v>1579483.16683</v>
      </c>
      <c r="G21" s="17">
        <v>1542529.3686300002</v>
      </c>
      <c r="H21" s="17">
        <f>+G21-144849.1</f>
        <v>1397680.2686300001</v>
      </c>
      <c r="I21" s="36">
        <f t="shared" si="1"/>
        <v>36953.798199999845</v>
      </c>
      <c r="J21" s="2"/>
    </row>
    <row r="22" spans="2:10" x14ac:dyDescent="0.2">
      <c r="B22" s="35"/>
      <c r="C22" s="16" t="s">
        <v>22</v>
      </c>
      <c r="D22" s="17">
        <f>2758182.556-74.7</f>
        <v>2758107.8559999997</v>
      </c>
      <c r="E22" s="17">
        <v>-70405.977279999977</v>
      </c>
      <c r="F22" s="17">
        <f t="shared" si="0"/>
        <v>2687701.8787199999</v>
      </c>
      <c r="G22" s="17">
        <v>2674291.4313100004</v>
      </c>
      <c r="H22" s="17">
        <f>+G22-39352</f>
        <v>2634939.4313100004</v>
      </c>
      <c r="I22" s="36">
        <f t="shared" si="1"/>
        <v>13410.447409999557</v>
      </c>
      <c r="J22" s="2"/>
    </row>
    <row r="23" spans="2:10" x14ac:dyDescent="0.2">
      <c r="B23" s="35"/>
      <c r="C23" s="16" t="s">
        <v>23</v>
      </c>
      <c r="D23" s="17">
        <v>107975.374</v>
      </c>
      <c r="E23" s="17">
        <v>-11166.751740000002</v>
      </c>
      <c r="F23" s="17">
        <f t="shared" si="0"/>
        <v>96808.622259999989</v>
      </c>
      <c r="G23" s="17">
        <v>96004.379110000009</v>
      </c>
      <c r="H23" s="17">
        <f>+G23-113</f>
        <v>95891.379110000009</v>
      </c>
      <c r="I23" s="36">
        <f t="shared" si="1"/>
        <v>804.24314999998023</v>
      </c>
      <c r="J23" s="2"/>
    </row>
    <row r="24" spans="2:10" x14ac:dyDescent="0.2">
      <c r="B24" s="35"/>
      <c r="C24" s="16" t="s">
        <v>24</v>
      </c>
      <c r="D24" s="17">
        <f>3919236.297-1000000</f>
        <v>2919236.2969999998</v>
      </c>
      <c r="E24" s="17">
        <v>898061.52752000012</v>
      </c>
      <c r="F24" s="17">
        <f t="shared" si="0"/>
        <v>3817297.8245199998</v>
      </c>
      <c r="G24" s="17">
        <f>4790428.80669-1000000-112398</f>
        <v>3678030.80669</v>
      </c>
      <c r="H24" s="17">
        <f>+G24-54771.6</f>
        <v>3623259.2066899999</v>
      </c>
      <c r="I24" s="36">
        <f t="shared" si="1"/>
        <v>139267.01782999979</v>
      </c>
      <c r="J24" s="2"/>
    </row>
    <row r="25" spans="2:10" x14ac:dyDescent="0.2">
      <c r="B25" s="35"/>
      <c r="C25" s="16" t="s">
        <v>25</v>
      </c>
      <c r="D25" s="17">
        <f>21956701.917-1010784.6-18552428.8</f>
        <v>2393488.5169999972</v>
      </c>
      <c r="E25" s="17">
        <v>2775173.8842200032</v>
      </c>
      <c r="F25" s="17">
        <f t="shared" si="0"/>
        <v>5168662.4012200003</v>
      </c>
      <c r="G25" s="17">
        <f>24713680.26407-1010784.6-18552428.8</f>
        <v>5150466.8640699983</v>
      </c>
      <c r="H25" s="17">
        <f>+G25-43594.4</f>
        <v>5106872.4640699979</v>
      </c>
      <c r="I25" s="36">
        <f t="shared" si="1"/>
        <v>18195.537150002085</v>
      </c>
      <c r="J25" s="2"/>
    </row>
    <row r="26" spans="2:10" x14ac:dyDescent="0.2">
      <c r="B26" s="35"/>
      <c r="C26" s="16" t="s">
        <v>26</v>
      </c>
      <c r="D26" s="17">
        <v>38380.487000000001</v>
      </c>
      <c r="E26" s="17">
        <v>10246.59042</v>
      </c>
      <c r="F26" s="17">
        <f t="shared" si="0"/>
        <v>48627.077420000001</v>
      </c>
      <c r="G26" s="17">
        <v>48470.96054</v>
      </c>
      <c r="H26" s="17">
        <f>+G26-27.3</f>
        <v>48443.660539999997</v>
      </c>
      <c r="I26" s="36">
        <f t="shared" si="1"/>
        <v>156.1168800000014</v>
      </c>
      <c r="J26" s="2"/>
    </row>
    <row r="27" spans="2:10" x14ac:dyDescent="0.2">
      <c r="B27" s="35"/>
      <c r="C27" s="16" t="s">
        <v>28</v>
      </c>
      <c r="D27" s="17">
        <v>702931.92299999995</v>
      </c>
      <c r="E27" s="17">
        <v>44347.232399999979</v>
      </c>
      <c r="F27" s="17">
        <f t="shared" si="0"/>
        <v>747279.15539999993</v>
      </c>
      <c r="G27" s="17">
        <v>747109.32391000004</v>
      </c>
      <c r="H27" s="17">
        <f>+G27-79663.4</f>
        <v>667445.92391000001</v>
      </c>
      <c r="I27" s="36">
        <f t="shared" si="1"/>
        <v>169.83148999989498</v>
      </c>
      <c r="J27" s="2"/>
    </row>
    <row r="28" spans="2:10" x14ac:dyDescent="0.2">
      <c r="B28" s="35"/>
      <c r="C28" s="16" t="s">
        <v>29</v>
      </c>
      <c r="D28" s="17">
        <f>551917.626-322000</f>
        <v>229917.62600000005</v>
      </c>
      <c r="E28" s="17">
        <v>503746.63182000013</v>
      </c>
      <c r="F28" s="17">
        <f t="shared" si="0"/>
        <v>733664.25782000017</v>
      </c>
      <c r="G28" s="17">
        <f>1050916.00626-322000</f>
        <v>728916.00625999994</v>
      </c>
      <c r="H28" s="17">
        <f>+G28-31932.7</f>
        <v>696983.30625999998</v>
      </c>
      <c r="I28" s="36">
        <f t="shared" si="1"/>
        <v>4748.2515600002371</v>
      </c>
      <c r="J28" s="2"/>
    </row>
    <row r="29" spans="2:10" x14ac:dyDescent="0.2">
      <c r="B29" s="35"/>
      <c r="C29" s="16" t="s">
        <v>30</v>
      </c>
      <c r="D29" s="17">
        <v>259160.69094999999</v>
      </c>
      <c r="E29" s="17">
        <v>-37562.129939999992</v>
      </c>
      <c r="F29" s="17">
        <f t="shared" si="0"/>
        <v>221598.56101</v>
      </c>
      <c r="G29" s="17">
        <v>219548.57204</v>
      </c>
      <c r="H29" s="17">
        <f>+G29-18085.8</f>
        <v>201462.77204000001</v>
      </c>
      <c r="I29" s="36">
        <f t="shared" si="1"/>
        <v>2049.9889700000058</v>
      </c>
      <c r="J29" s="2"/>
    </row>
    <row r="30" spans="2:10" x14ac:dyDescent="0.2">
      <c r="B30" s="35"/>
      <c r="C30" s="16" t="s">
        <v>31</v>
      </c>
      <c r="D30" s="17">
        <v>1896452.7069999999</v>
      </c>
      <c r="E30" s="17">
        <v>42906.039400000001</v>
      </c>
      <c r="F30" s="17">
        <f t="shared" si="0"/>
        <v>1939358.7463999998</v>
      </c>
      <c r="G30" s="17">
        <f>1938698.44693-1472813.9</f>
        <v>465884.54693000019</v>
      </c>
      <c r="H30" s="17">
        <f>+G30-5373.7</f>
        <v>460510.84693000017</v>
      </c>
      <c r="I30" s="36">
        <f t="shared" si="1"/>
        <v>1473474.1994699996</v>
      </c>
      <c r="J30" s="2"/>
    </row>
    <row r="31" spans="2:10" x14ac:dyDescent="0.2">
      <c r="B31" s="35"/>
      <c r="C31" s="16" t="s">
        <v>32</v>
      </c>
      <c r="D31" s="17">
        <f>1022838.24427-62052.1-56199-700000</f>
        <v>204587.14427000005</v>
      </c>
      <c r="E31" s="17">
        <f>613925.93492+5545.3+700000</f>
        <v>1319471.2349200002</v>
      </c>
      <c r="F31" s="17">
        <f t="shared" si="0"/>
        <v>1524058.3791900002</v>
      </c>
      <c r="G31" s="17">
        <f>1580257.34086-56199</f>
        <v>1524058.3408600001</v>
      </c>
      <c r="H31" s="17">
        <f>+G31-74300.5</f>
        <v>1449757.8408600001</v>
      </c>
      <c r="I31" s="36">
        <f t="shared" si="1"/>
        <v>3.8330000126734376E-2</v>
      </c>
      <c r="J31" s="2"/>
    </row>
    <row r="32" spans="2:10" x14ac:dyDescent="0.2">
      <c r="B32" s="35"/>
      <c r="C32" s="16" t="s">
        <v>33</v>
      </c>
      <c r="D32" s="17">
        <f>7874354.312-909140.9-4773576-56199</f>
        <v>2135438.4119999995</v>
      </c>
      <c r="E32" s="17">
        <f>7837428.77953-5545.3</f>
        <v>7831883.4795300001</v>
      </c>
      <c r="F32" s="17">
        <f>D32+E32</f>
        <v>9967321.8915299997</v>
      </c>
      <c r="G32" s="17">
        <f>15175502.77605-30650.1-1093580.4-20458.8-909140.9-4773576-56199+224796-279095.8</f>
        <v>8237597.7760499986</v>
      </c>
      <c r="H32" s="17">
        <f>+G32-445421.1</f>
        <v>7792176.676049999</v>
      </c>
      <c r="I32" s="36">
        <f t="shared" si="1"/>
        <v>1729724.1154800011</v>
      </c>
      <c r="J32" s="2"/>
    </row>
    <row r="33" spans="2:10" x14ac:dyDescent="0.2">
      <c r="B33" s="35"/>
      <c r="C33" s="16" t="s">
        <v>34</v>
      </c>
      <c r="D33" s="17">
        <v>117233.113</v>
      </c>
      <c r="E33" s="17">
        <v>831.33505000000071</v>
      </c>
      <c r="F33" s="17">
        <f t="shared" ref="F33:F35" si="2">D33+E33</f>
        <v>118064.44804999999</v>
      </c>
      <c r="G33" s="17">
        <v>117956.78779</v>
      </c>
      <c r="H33" s="17">
        <f>+G33-680</f>
        <v>117276.78779</v>
      </c>
      <c r="I33" s="36">
        <f t="shared" si="1"/>
        <v>107.66025999998965</v>
      </c>
      <c r="J33" s="2"/>
    </row>
    <row r="34" spans="2:10" ht="24" customHeight="1" x14ac:dyDescent="0.2">
      <c r="B34" s="35"/>
      <c r="C34" s="16" t="s">
        <v>35</v>
      </c>
      <c r="D34" s="17">
        <v>45169.908000000003</v>
      </c>
      <c r="E34" s="17">
        <v>-1835.4395199999997</v>
      </c>
      <c r="F34" s="17">
        <f t="shared" si="2"/>
        <v>43334.468480000003</v>
      </c>
      <c r="G34" s="17">
        <v>43235.92987</v>
      </c>
      <c r="H34" s="17">
        <f>+G34-20</f>
        <v>43215.92987</v>
      </c>
      <c r="I34" s="36">
        <f t="shared" si="1"/>
        <v>98.538610000003246</v>
      </c>
      <c r="J34" s="2"/>
    </row>
    <row r="35" spans="2:10" ht="22.5" customHeight="1" x14ac:dyDescent="0.2">
      <c r="B35" s="35"/>
      <c r="C35" s="16" t="s">
        <v>36</v>
      </c>
      <c r="D35" s="17">
        <v>32786.559999999998</v>
      </c>
      <c r="E35" s="17">
        <v>-2666.0841099999993</v>
      </c>
      <c r="F35" s="17">
        <f t="shared" si="2"/>
        <v>30120.475889999998</v>
      </c>
      <c r="G35" s="17">
        <v>29883.629000000001</v>
      </c>
      <c r="H35" s="17">
        <f>+G35-24</f>
        <v>29859.629000000001</v>
      </c>
      <c r="I35" s="36">
        <f t="shared" si="1"/>
        <v>236.84688999999707</v>
      </c>
      <c r="J35" s="2"/>
    </row>
    <row r="36" spans="2:10" x14ac:dyDescent="0.2">
      <c r="B36" s="35"/>
      <c r="C36" s="16" t="s">
        <v>37</v>
      </c>
      <c r="D36" s="17">
        <v>74443.678</v>
      </c>
      <c r="E36" s="17">
        <v>7862.7869000000001</v>
      </c>
      <c r="F36" s="17">
        <f>D36+E36</f>
        <v>82306.464900000006</v>
      </c>
      <c r="G36" s="17">
        <v>82183.570919999998</v>
      </c>
      <c r="H36" s="17">
        <f>+G36-22.8</f>
        <v>82160.770919999995</v>
      </c>
      <c r="I36" s="36">
        <f t="shared" si="1"/>
        <v>122.89398000000801</v>
      </c>
      <c r="J36" s="2"/>
    </row>
    <row r="37" spans="2:10" x14ac:dyDescent="0.2">
      <c r="B37" s="37"/>
      <c r="C37" s="18"/>
      <c r="D37" s="19"/>
      <c r="E37" s="19"/>
      <c r="F37" s="15"/>
      <c r="G37" s="19"/>
      <c r="H37" s="19"/>
      <c r="I37" s="34"/>
    </row>
    <row r="38" spans="2:10" ht="22.5" customHeight="1" x14ac:dyDescent="0.2">
      <c r="B38" s="32" t="s">
        <v>38</v>
      </c>
      <c r="C38" s="13"/>
      <c r="D38" s="20">
        <f>SUM(D40:D63)</f>
        <v>79936237.752140015</v>
      </c>
      <c r="E38" s="20">
        <f>SUM(E40:E63)</f>
        <v>1176118.8655400006</v>
      </c>
      <c r="F38" s="20">
        <f>D38+E38</f>
        <v>81112356.617680013</v>
      </c>
      <c r="G38" s="20">
        <f>SUM(G40:G63)</f>
        <v>81112356.645369977</v>
      </c>
      <c r="H38" s="20">
        <f>SUM(H40:H63)</f>
        <v>81112356.645369977</v>
      </c>
      <c r="I38" s="38">
        <f>+F38-G38</f>
        <v>-2.7689963579177856E-2</v>
      </c>
    </row>
    <row r="39" spans="2:10" ht="8.1" customHeight="1" x14ac:dyDescent="0.2">
      <c r="B39" s="32"/>
      <c r="C39" s="13"/>
      <c r="D39" s="15"/>
      <c r="E39" s="15"/>
      <c r="F39" s="15"/>
      <c r="G39" s="15"/>
      <c r="H39" s="15"/>
      <c r="I39" s="34"/>
    </row>
    <row r="40" spans="2:10" x14ac:dyDescent="0.2">
      <c r="B40" s="35"/>
      <c r="C40" s="16" t="s">
        <v>13</v>
      </c>
      <c r="D40" s="17">
        <v>0</v>
      </c>
      <c r="E40" s="17">
        <v>0</v>
      </c>
      <c r="F40" s="17">
        <f>D40+E40</f>
        <v>0</v>
      </c>
      <c r="G40" s="17">
        <v>0</v>
      </c>
      <c r="H40" s="17">
        <v>0</v>
      </c>
      <c r="I40" s="36">
        <f t="shared" ref="I40:I65" si="3">F40-G40</f>
        <v>0</v>
      </c>
    </row>
    <row r="41" spans="2:10" x14ac:dyDescent="0.2">
      <c r="B41" s="35"/>
      <c r="C41" s="16" t="s">
        <v>15</v>
      </c>
      <c r="D41" s="17">
        <f>1786619.707-2436.6</f>
        <v>1784183.1069999998</v>
      </c>
      <c r="E41" s="17">
        <v>329231.9900300001</v>
      </c>
      <c r="F41" s="17">
        <f>D41+E41</f>
        <v>2113415.0970299998</v>
      </c>
      <c r="G41" s="17">
        <v>2113415.0907000001</v>
      </c>
      <c r="H41" s="17">
        <f>+G41</f>
        <v>2113415.0907000001</v>
      </c>
      <c r="I41" s="36">
        <f t="shared" ref="I41:I60" si="4">F41-G41</f>
        <v>6.3299997709691525E-3</v>
      </c>
    </row>
    <row r="42" spans="2:10" x14ac:dyDescent="0.2">
      <c r="B42" s="35"/>
      <c r="C42" s="16" t="s">
        <v>27</v>
      </c>
      <c r="D42" s="17">
        <v>0</v>
      </c>
      <c r="E42" s="17">
        <v>0</v>
      </c>
      <c r="F42" s="17">
        <v>0</v>
      </c>
      <c r="G42" s="17">
        <v>0</v>
      </c>
      <c r="H42" s="17">
        <f t="shared" ref="H42:H62" si="5">+G42</f>
        <v>0</v>
      </c>
      <c r="I42" s="36">
        <f t="shared" si="4"/>
        <v>0</v>
      </c>
    </row>
    <row r="43" spans="2:10" x14ac:dyDescent="0.2">
      <c r="B43" s="35"/>
      <c r="C43" s="16" t="s">
        <v>16</v>
      </c>
      <c r="D43" s="17">
        <v>0</v>
      </c>
      <c r="E43" s="17">
        <v>0</v>
      </c>
      <c r="F43" s="17">
        <f t="shared" ref="F43:F63" si="6">D43+E43</f>
        <v>0</v>
      </c>
      <c r="G43" s="17">
        <v>0</v>
      </c>
      <c r="H43" s="17">
        <f t="shared" si="5"/>
        <v>0</v>
      </c>
      <c r="I43" s="36">
        <f t="shared" si="4"/>
        <v>0</v>
      </c>
    </row>
    <row r="44" spans="2:10" x14ac:dyDescent="0.2">
      <c r="B44" s="35"/>
      <c r="C44" s="16" t="s">
        <v>17</v>
      </c>
      <c r="D44" s="17">
        <f>7631663.56714+29811394.4+720094.9+448308.1+9839690.18-6000000+49976.9</f>
        <v>42501128.047139995</v>
      </c>
      <c r="E44" s="17">
        <f>+-5920859.76337+6000000-49949</f>
        <v>29191.236630000174</v>
      </c>
      <c r="F44" s="17">
        <f>D44+E44</f>
        <v>42530319.283769995</v>
      </c>
      <c r="G44" s="17">
        <f>1654535.17959+9895958.8+29811394.4+720094.9+448308.1+27.9</f>
        <v>42530319.279589996</v>
      </c>
      <c r="H44" s="17">
        <f t="shared" si="5"/>
        <v>42530319.279589996</v>
      </c>
      <c r="I44" s="36">
        <f t="shared" si="4"/>
        <v>4.1799992322921753E-3</v>
      </c>
    </row>
    <row r="45" spans="2:10" x14ac:dyDescent="0.2">
      <c r="B45" s="35"/>
      <c r="C45" s="16" t="s">
        <v>18</v>
      </c>
      <c r="D45" s="17">
        <v>335700</v>
      </c>
      <c r="E45" s="17">
        <v>208565.00374000001</v>
      </c>
      <c r="F45" s="17">
        <f t="shared" si="6"/>
        <v>544265.00374000007</v>
      </c>
      <c r="G45" s="17">
        <v>544265.00373999996</v>
      </c>
      <c r="H45" s="17">
        <f t="shared" si="5"/>
        <v>544265.00373999996</v>
      </c>
      <c r="I45" s="36">
        <f t="shared" si="4"/>
        <v>0</v>
      </c>
    </row>
    <row r="46" spans="2:10" x14ac:dyDescent="0.2">
      <c r="B46" s="35"/>
      <c r="C46" s="16" t="s">
        <v>19</v>
      </c>
      <c r="D46" s="17">
        <v>0</v>
      </c>
      <c r="E46" s="17">
        <v>80525.446210000009</v>
      </c>
      <c r="F46" s="17">
        <f t="shared" si="6"/>
        <v>80525.446210000009</v>
      </c>
      <c r="G46" s="17">
        <v>80525.446210000009</v>
      </c>
      <c r="H46" s="17">
        <f t="shared" si="5"/>
        <v>80525.446210000009</v>
      </c>
      <c r="I46" s="36">
        <f t="shared" si="4"/>
        <v>0</v>
      </c>
    </row>
    <row r="47" spans="2:10" x14ac:dyDescent="0.2">
      <c r="B47" s="35"/>
      <c r="C47" s="16" t="s">
        <v>20</v>
      </c>
      <c r="D47" s="17">
        <v>0</v>
      </c>
      <c r="E47" s="17">
        <v>0</v>
      </c>
      <c r="F47" s="17">
        <f t="shared" si="6"/>
        <v>0</v>
      </c>
      <c r="G47" s="17">
        <v>0</v>
      </c>
      <c r="H47" s="17">
        <f t="shared" si="5"/>
        <v>0</v>
      </c>
      <c r="I47" s="36">
        <f t="shared" si="4"/>
        <v>0</v>
      </c>
    </row>
    <row r="48" spans="2:10" x14ac:dyDescent="0.2">
      <c r="B48" s="35"/>
      <c r="C48" s="16" t="s">
        <v>21</v>
      </c>
      <c r="D48" s="17">
        <f>16962.041-16962</f>
        <v>4.1000000001076842E-2</v>
      </c>
      <c r="E48" s="17">
        <f>+-16962.041+16962</f>
        <v>-4.1000000001076842E-2</v>
      </c>
      <c r="F48" s="17">
        <f t="shared" si="6"/>
        <v>0</v>
      </c>
      <c r="G48" s="17">
        <v>0</v>
      </c>
      <c r="H48" s="17">
        <f t="shared" si="5"/>
        <v>0</v>
      </c>
      <c r="I48" s="36">
        <f t="shared" si="4"/>
        <v>0</v>
      </c>
    </row>
    <row r="49" spans="2:9" x14ac:dyDescent="0.2">
      <c r="B49" s="35"/>
      <c r="C49" s="16" t="s">
        <v>22</v>
      </c>
      <c r="D49" s="17">
        <f>277459.745-74.7</f>
        <v>277385.04499999998</v>
      </c>
      <c r="E49" s="17">
        <v>-132745.21300999998</v>
      </c>
      <c r="F49" s="17">
        <f t="shared" si="6"/>
        <v>144639.83199000001</v>
      </c>
      <c r="G49" s="17">
        <v>144639.83473</v>
      </c>
      <c r="H49" s="17">
        <f t="shared" si="5"/>
        <v>144639.83473</v>
      </c>
      <c r="I49" s="36">
        <f t="shared" si="4"/>
        <v>-2.7399999962653965E-3</v>
      </c>
    </row>
    <row r="50" spans="2:9" x14ac:dyDescent="0.2">
      <c r="B50" s="35"/>
      <c r="C50" s="16" t="s">
        <v>23</v>
      </c>
      <c r="D50" s="17">
        <v>0</v>
      </c>
      <c r="E50" s="17">
        <v>0</v>
      </c>
      <c r="F50" s="17">
        <f t="shared" si="6"/>
        <v>0</v>
      </c>
      <c r="G50" s="17">
        <v>0</v>
      </c>
      <c r="H50" s="17">
        <f t="shared" si="5"/>
        <v>0</v>
      </c>
      <c r="I50" s="36">
        <f t="shared" si="4"/>
        <v>0</v>
      </c>
    </row>
    <row r="51" spans="2:9" x14ac:dyDescent="0.2">
      <c r="B51" s="35"/>
      <c r="C51" s="16" t="s">
        <v>24</v>
      </c>
      <c r="D51" s="17">
        <v>19844.786</v>
      </c>
      <c r="E51" s="17">
        <v>-5627.9710500000001</v>
      </c>
      <c r="F51" s="17">
        <f t="shared" si="6"/>
        <v>14216.81495</v>
      </c>
      <c r="G51" s="17">
        <v>14216.81495</v>
      </c>
      <c r="H51" s="17">
        <f t="shared" si="5"/>
        <v>14216.81495</v>
      </c>
      <c r="I51" s="36">
        <f t="shared" si="4"/>
        <v>0</v>
      </c>
    </row>
    <row r="52" spans="2:9" x14ac:dyDescent="0.2">
      <c r="B52" s="35"/>
      <c r="C52" s="16" t="s">
        <v>25</v>
      </c>
      <c r="D52" s="17">
        <f>997419.944+1010784.6+18552428.8</f>
        <v>20560633.344000001</v>
      </c>
      <c r="E52" s="17">
        <v>77941.908479999984</v>
      </c>
      <c r="F52" s="17">
        <f t="shared" si="6"/>
        <v>20638575.25248</v>
      </c>
      <c r="G52" s="17">
        <f>1075361.85248+1010784.6+18552428.8</f>
        <v>20638575.25248</v>
      </c>
      <c r="H52" s="17">
        <f t="shared" si="5"/>
        <v>20638575.25248</v>
      </c>
      <c r="I52" s="36">
        <f t="shared" si="4"/>
        <v>0</v>
      </c>
    </row>
    <row r="53" spans="2:9" x14ac:dyDescent="0.2">
      <c r="B53" s="35"/>
      <c r="C53" s="16" t="s">
        <v>26</v>
      </c>
      <c r="D53" s="17">
        <v>0</v>
      </c>
      <c r="E53" s="17">
        <v>0</v>
      </c>
      <c r="F53" s="17">
        <f t="shared" si="6"/>
        <v>0</v>
      </c>
      <c r="G53" s="17">
        <v>0</v>
      </c>
      <c r="H53" s="17">
        <f t="shared" si="5"/>
        <v>0</v>
      </c>
      <c r="I53" s="36">
        <f t="shared" si="4"/>
        <v>0</v>
      </c>
    </row>
    <row r="54" spans="2:9" x14ac:dyDescent="0.2">
      <c r="B54" s="35"/>
      <c r="C54" s="16" t="s">
        <v>28</v>
      </c>
      <c r="D54" s="17">
        <v>0</v>
      </c>
      <c r="E54" s="17">
        <v>0</v>
      </c>
      <c r="F54" s="17">
        <f t="shared" si="6"/>
        <v>0</v>
      </c>
      <c r="G54" s="17">
        <v>0</v>
      </c>
      <c r="H54" s="17">
        <f t="shared" si="5"/>
        <v>0</v>
      </c>
      <c r="I54" s="36">
        <f t="shared" si="4"/>
        <v>0</v>
      </c>
    </row>
    <row r="55" spans="2:9" x14ac:dyDescent="0.2">
      <c r="B55" s="35"/>
      <c r="C55" s="16" t="s">
        <v>29</v>
      </c>
      <c r="D55" s="17">
        <v>322000</v>
      </c>
      <c r="E55" s="17">
        <v>251000</v>
      </c>
      <c r="F55" s="17">
        <f t="shared" si="6"/>
        <v>573000</v>
      </c>
      <c r="G55" s="17">
        <f>251000+322000</f>
        <v>573000</v>
      </c>
      <c r="H55" s="17">
        <f t="shared" si="5"/>
        <v>573000</v>
      </c>
      <c r="I55" s="36">
        <f t="shared" si="4"/>
        <v>0</v>
      </c>
    </row>
    <row r="56" spans="2:9" x14ac:dyDescent="0.2">
      <c r="B56" s="35"/>
      <c r="C56" s="16" t="s">
        <v>30</v>
      </c>
      <c r="D56" s="17">
        <v>25591.280999999999</v>
      </c>
      <c r="E56" s="17">
        <v>115389.97815000001</v>
      </c>
      <c r="F56" s="17">
        <f t="shared" si="6"/>
        <v>140981.25915</v>
      </c>
      <c r="G56" s="17">
        <v>140981.25915</v>
      </c>
      <c r="H56" s="17">
        <f t="shared" si="5"/>
        <v>140981.25915</v>
      </c>
      <c r="I56" s="36">
        <f t="shared" si="4"/>
        <v>0</v>
      </c>
    </row>
    <row r="57" spans="2:9" x14ac:dyDescent="0.2">
      <c r="B57" s="35"/>
      <c r="C57" s="16" t="s">
        <v>31</v>
      </c>
      <c r="D57" s="17">
        <v>0</v>
      </c>
      <c r="E57" s="17">
        <v>5446.6986200000001</v>
      </c>
      <c r="F57" s="17">
        <f t="shared" si="6"/>
        <v>5446.6986200000001</v>
      </c>
      <c r="G57" s="17">
        <v>5446.6986200000001</v>
      </c>
      <c r="H57" s="17">
        <f t="shared" si="5"/>
        <v>5446.6986200000001</v>
      </c>
      <c r="I57" s="36">
        <f t="shared" si="4"/>
        <v>0</v>
      </c>
    </row>
    <row r="58" spans="2:9" x14ac:dyDescent="0.2">
      <c r="B58" s="35"/>
      <c r="C58" s="16" t="s">
        <v>32</v>
      </c>
      <c r="D58" s="17">
        <f>901733.894-62052.1+56199-670963.8</f>
        <v>224916.99399999995</v>
      </c>
      <c r="E58" s="17">
        <v>0</v>
      </c>
      <c r="F58" s="17">
        <f t="shared" si="6"/>
        <v>224916.99399999995</v>
      </c>
      <c r="G58" s="17">
        <f>168718.02946+56199</f>
        <v>224917.02945999999</v>
      </c>
      <c r="H58" s="17">
        <f t="shared" si="5"/>
        <v>224917.02945999999</v>
      </c>
      <c r="I58" s="36">
        <f t="shared" si="4"/>
        <v>-3.5460000042803586E-2</v>
      </c>
    </row>
    <row r="59" spans="2:9" x14ac:dyDescent="0.2">
      <c r="B59" s="35"/>
      <c r="C59" s="16" t="s">
        <v>33</v>
      </c>
      <c r="D59" s="17">
        <f>4074210.807+909140.9+5773576-56199+3256897-72770.6</f>
        <v>13884855.107000001</v>
      </c>
      <c r="E59" s="17">
        <f>3401326.22874-3256897+72770.6</f>
        <v>217199.82874000017</v>
      </c>
      <c r="F59" s="17">
        <f t="shared" si="6"/>
        <v>14102054.935740001</v>
      </c>
      <c r="G59" s="17">
        <f>7475537.03574+909140.9+5773576-56199</f>
        <v>14102054.935740001</v>
      </c>
      <c r="H59" s="17">
        <f t="shared" si="5"/>
        <v>14102054.935740001</v>
      </c>
      <c r="I59" s="36">
        <f t="shared" si="4"/>
        <v>0</v>
      </c>
    </row>
    <row r="60" spans="2:9" x14ac:dyDescent="0.2">
      <c r="B60" s="35"/>
      <c r="C60" s="16" t="s">
        <v>34</v>
      </c>
      <c r="D60" s="17">
        <v>0</v>
      </c>
      <c r="E60" s="17">
        <v>0</v>
      </c>
      <c r="F60" s="17">
        <f t="shared" si="6"/>
        <v>0</v>
      </c>
      <c r="G60" s="17">
        <v>0</v>
      </c>
      <c r="H60" s="17">
        <f t="shared" si="5"/>
        <v>0</v>
      </c>
      <c r="I60" s="36">
        <f t="shared" si="4"/>
        <v>0</v>
      </c>
    </row>
    <row r="61" spans="2:9" ht="16.5" x14ac:dyDescent="0.2">
      <c r="B61" s="35"/>
      <c r="C61" s="16" t="s">
        <v>35</v>
      </c>
      <c r="D61" s="17">
        <v>0</v>
      </c>
      <c r="E61" s="17">
        <v>0</v>
      </c>
      <c r="F61" s="17">
        <f t="shared" si="6"/>
        <v>0</v>
      </c>
      <c r="G61" s="17">
        <v>0</v>
      </c>
      <c r="H61" s="17">
        <f t="shared" si="5"/>
        <v>0</v>
      </c>
      <c r="I61" s="36">
        <f t="shared" si="3"/>
        <v>0</v>
      </c>
    </row>
    <row r="62" spans="2:9" ht="16.5" x14ac:dyDescent="0.2">
      <c r="B62" s="35"/>
      <c r="C62" s="16" t="s">
        <v>36</v>
      </c>
      <c r="D62" s="17">
        <v>0</v>
      </c>
      <c r="E62" s="17">
        <v>0</v>
      </c>
      <c r="F62" s="17">
        <f t="shared" si="6"/>
        <v>0</v>
      </c>
      <c r="G62" s="17">
        <v>0</v>
      </c>
      <c r="H62" s="17">
        <f t="shared" si="5"/>
        <v>0</v>
      </c>
      <c r="I62" s="36">
        <f t="shared" si="3"/>
        <v>0</v>
      </c>
    </row>
    <row r="63" spans="2:9" x14ac:dyDescent="0.2">
      <c r="B63" s="35"/>
      <c r="C63" s="16" t="s">
        <v>37</v>
      </c>
      <c r="D63" s="17">
        <v>0</v>
      </c>
      <c r="E63" s="17">
        <v>0</v>
      </c>
      <c r="F63" s="17">
        <f t="shared" si="6"/>
        <v>0</v>
      </c>
      <c r="G63" s="17">
        <v>0</v>
      </c>
      <c r="H63" s="17">
        <v>0</v>
      </c>
      <c r="I63" s="36">
        <f t="shared" si="3"/>
        <v>0</v>
      </c>
    </row>
    <row r="64" spans="2:9" x14ac:dyDescent="0.2">
      <c r="B64" s="37"/>
      <c r="C64" s="18"/>
      <c r="D64" s="19"/>
      <c r="E64" s="19"/>
      <c r="F64" s="19"/>
      <c r="G64" s="19"/>
      <c r="H64" s="19"/>
      <c r="I64" s="36"/>
    </row>
    <row r="65" spans="2:9" x14ac:dyDescent="0.2">
      <c r="B65" s="32" t="s">
        <v>9</v>
      </c>
      <c r="C65" s="13"/>
      <c r="D65" s="20">
        <f>D11+D38</f>
        <v>149514681.78700003</v>
      </c>
      <c r="E65" s="20">
        <f>E11+E38</f>
        <v>25094767.821210012</v>
      </c>
      <c r="F65" s="20">
        <f>D65+E65</f>
        <v>174609449.60821003</v>
      </c>
      <c r="G65" s="20">
        <f>G11+G38</f>
        <v>169933131.01946998</v>
      </c>
      <c r="H65" s="20">
        <f>H11+H38</f>
        <v>167472470.21946993</v>
      </c>
      <c r="I65" s="38">
        <f t="shared" si="3"/>
        <v>4676318.5887400508</v>
      </c>
    </row>
    <row r="66" spans="2:9" ht="15" thickBot="1" x14ac:dyDescent="0.25">
      <c r="B66" s="39"/>
      <c r="C66" s="40"/>
      <c r="D66" s="41"/>
      <c r="E66" s="41"/>
      <c r="F66" s="41"/>
      <c r="G66" s="41"/>
      <c r="H66" s="41"/>
      <c r="I66" s="42"/>
    </row>
    <row r="67" spans="2:9" x14ac:dyDescent="0.2">
      <c r="B67" s="21"/>
      <c r="C67" s="21"/>
      <c r="D67" s="21"/>
      <c r="E67" s="21"/>
      <c r="F67" s="21"/>
      <c r="G67" s="21"/>
      <c r="H67" s="21"/>
      <c r="I67" s="21"/>
    </row>
    <row r="68" spans="2:9" x14ac:dyDescent="0.2">
      <c r="D68" s="3"/>
      <c r="E68" s="3"/>
      <c r="F68" s="3"/>
      <c r="G68" s="3"/>
      <c r="H68" s="3"/>
      <c r="I68" s="3"/>
    </row>
    <row r="69" spans="2:9" x14ac:dyDescent="0.2">
      <c r="D69" s="3"/>
      <c r="E69" s="3"/>
      <c r="F69" s="4"/>
      <c r="G69" s="7"/>
      <c r="H69" s="4"/>
      <c r="I69" s="4"/>
    </row>
    <row r="70" spans="2:9" x14ac:dyDescent="0.2">
      <c r="D70" s="4"/>
      <c r="E70" s="3"/>
      <c r="F70" s="4"/>
      <c r="G70" s="7"/>
      <c r="H70" s="3"/>
      <c r="I70" s="3"/>
    </row>
    <row r="71" spans="2:9" x14ac:dyDescent="0.2">
      <c r="D71" s="5"/>
      <c r="E71" s="3"/>
      <c r="F71" s="3"/>
      <c r="G71" s="7"/>
      <c r="H71" s="3"/>
      <c r="I71" s="3"/>
    </row>
    <row r="72" spans="2:9" x14ac:dyDescent="0.2">
      <c r="D72" s="6"/>
      <c r="E72" s="3"/>
      <c r="F72" s="3"/>
      <c r="G72" s="7"/>
      <c r="H72" s="3"/>
      <c r="I72" s="3"/>
    </row>
    <row r="73" spans="2:9" x14ac:dyDescent="0.2">
      <c r="D73" s="3"/>
      <c r="E73" s="3"/>
      <c r="F73" s="3"/>
      <c r="G73" s="7"/>
      <c r="H73" s="3"/>
      <c r="I73" s="3"/>
    </row>
    <row r="74" spans="2:9" x14ac:dyDescent="0.2">
      <c r="D74" s="3"/>
      <c r="E74" s="3"/>
      <c r="F74" s="3"/>
      <c r="G74" s="7"/>
      <c r="H74" s="3"/>
      <c r="I74" s="3"/>
    </row>
    <row r="75" spans="2:9" x14ac:dyDescent="0.2">
      <c r="D75" s="3"/>
      <c r="E75" s="3"/>
      <c r="F75" s="3"/>
      <c r="G75" s="7"/>
      <c r="H75" s="3"/>
      <c r="I75" s="3"/>
    </row>
    <row r="76" spans="2:9" x14ac:dyDescent="0.2">
      <c r="D76" s="3"/>
      <c r="E76" s="3"/>
      <c r="F76" s="3"/>
      <c r="G76" s="7"/>
      <c r="H76" s="3"/>
      <c r="I76" s="3"/>
    </row>
    <row r="77" spans="2:9" x14ac:dyDescent="0.2">
      <c r="D77" s="3"/>
      <c r="E77" s="3"/>
      <c r="F77" s="3"/>
      <c r="G77" s="7"/>
      <c r="H77" s="3"/>
      <c r="I77" s="3"/>
    </row>
    <row r="78" spans="2:9" x14ac:dyDescent="0.2">
      <c r="D78" s="3"/>
      <c r="E78" s="3"/>
      <c r="F78" s="3"/>
      <c r="G78" s="7"/>
      <c r="H78" s="3"/>
      <c r="I78" s="3"/>
    </row>
    <row r="79" spans="2:9" x14ac:dyDescent="0.2">
      <c r="G79" s="8"/>
    </row>
    <row r="80" spans="2:9" x14ac:dyDescent="0.2">
      <c r="G80" s="8"/>
    </row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</sheetData>
  <mergeCells count="19">
    <mergeCell ref="B1:I1"/>
    <mergeCell ref="B11:C11"/>
    <mergeCell ref="B12:C12"/>
    <mergeCell ref="B38:C38"/>
    <mergeCell ref="B39:C39"/>
    <mergeCell ref="B8:C9"/>
    <mergeCell ref="B2:I2"/>
    <mergeCell ref="B10:C10"/>
    <mergeCell ref="B37:C37"/>
    <mergeCell ref="B3:I3"/>
    <mergeCell ref="B4:I4"/>
    <mergeCell ref="B5:I5"/>
    <mergeCell ref="B6:I6"/>
    <mergeCell ref="B7:I7"/>
    <mergeCell ref="D8:H8"/>
    <mergeCell ref="I8:I9"/>
    <mergeCell ref="B64:C64"/>
    <mergeCell ref="B66:C66"/>
    <mergeCell ref="B65:C65"/>
  </mergeCells>
  <printOptions horizontalCentered="1"/>
  <pageMargins left="0.70866141732283472" right="0.70866141732283472" top="0.74803149606299213" bottom="0.74803149606299213" header="0.31496062992125984" footer="0.31496062992125984"/>
  <pageSetup scale="88" fitToHeight="5" orientation="landscape" r:id="rId1"/>
  <ignoredErrors>
    <ignoredError sqref="F11:F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6b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revision/>
  <cp:lastPrinted>2017-04-28T01:58:15Z</cp:lastPrinted>
  <dcterms:created xsi:type="dcterms:W3CDTF">2016-10-11T17:36:10Z</dcterms:created>
  <dcterms:modified xsi:type="dcterms:W3CDTF">2017-04-28T02:13:02Z</dcterms:modified>
</cp:coreProperties>
</file>