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0" windowWidth="28515" windowHeight="1209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163" i="1" l="1"/>
  <c r="C46" i="1"/>
  <c r="C123" i="1"/>
  <c r="C156" i="1"/>
  <c r="C74" i="1" l="1"/>
  <c r="C152" i="1"/>
  <c r="C150" i="1"/>
  <c r="F74" i="1"/>
  <c r="G61" i="1"/>
  <c r="F61" i="1"/>
  <c r="F138" i="1"/>
  <c r="G46" i="1"/>
  <c r="F46" i="1"/>
  <c r="C61" i="1" l="1"/>
  <c r="H84" i="1" l="1"/>
  <c r="H83" i="1"/>
  <c r="H82" i="1"/>
  <c r="H81" i="1"/>
  <c r="H80" i="1"/>
  <c r="H79" i="1"/>
  <c r="H76" i="1"/>
  <c r="H75" i="1"/>
  <c r="H72" i="1"/>
  <c r="H71" i="1"/>
  <c r="H70" i="1"/>
  <c r="H69" i="1"/>
  <c r="H68" i="1"/>
  <c r="H67" i="1"/>
  <c r="H66" i="1"/>
  <c r="H65" i="1"/>
  <c r="H63" i="1"/>
  <c r="H62" i="1"/>
  <c r="H59" i="1"/>
  <c r="H58" i="1"/>
  <c r="H57" i="1"/>
  <c r="H56" i="1"/>
  <c r="H55" i="1"/>
  <c r="H54" i="1"/>
  <c r="H53" i="1"/>
  <c r="H52" i="1"/>
  <c r="H51" i="1"/>
  <c r="G79" i="1"/>
  <c r="F79" i="1"/>
  <c r="G78" i="1"/>
  <c r="F78" i="1"/>
  <c r="G75" i="1"/>
  <c r="F75" i="1"/>
  <c r="G63" i="1"/>
  <c r="F63" i="1"/>
  <c r="G62" i="1"/>
  <c r="F62" i="1"/>
  <c r="G51" i="1"/>
  <c r="F51" i="1"/>
  <c r="G44" i="1"/>
  <c r="F44" i="1"/>
  <c r="H44" i="1" s="1"/>
  <c r="G39" i="1"/>
  <c r="F39" i="1"/>
  <c r="H39" i="1" s="1"/>
  <c r="G38" i="1"/>
  <c r="F38" i="1"/>
  <c r="F37" i="1"/>
  <c r="G37" i="1"/>
  <c r="G33" i="1"/>
  <c r="F33" i="1"/>
  <c r="G27" i="1"/>
  <c r="F27" i="1"/>
  <c r="G22" i="1"/>
  <c r="F22" i="1"/>
  <c r="H22" i="1" s="1"/>
  <c r="G21" i="1"/>
  <c r="F21" i="1"/>
  <c r="H21" i="1" s="1"/>
  <c r="G12" i="1"/>
  <c r="F12" i="1"/>
  <c r="H161" i="1"/>
  <c r="H160" i="1"/>
  <c r="H159" i="1"/>
  <c r="H158" i="1"/>
  <c r="H157" i="1"/>
  <c r="H151" i="1"/>
  <c r="H149" i="1"/>
  <c r="H148" i="1"/>
  <c r="H147" i="1"/>
  <c r="H146" i="1"/>
  <c r="H145" i="1"/>
  <c r="H144" i="1"/>
  <c r="H143" i="1"/>
  <c r="H142" i="1"/>
  <c r="H140" i="1"/>
  <c r="H139" i="1"/>
  <c r="H136" i="1"/>
  <c r="H135" i="1"/>
  <c r="H134" i="1"/>
  <c r="H133" i="1"/>
  <c r="H132" i="1"/>
  <c r="H131" i="1"/>
  <c r="H130" i="1"/>
  <c r="H129" i="1"/>
  <c r="H128" i="1"/>
  <c r="H126" i="1"/>
  <c r="H125" i="1"/>
  <c r="H124" i="1"/>
  <c r="H122" i="1"/>
  <c r="H121" i="1"/>
  <c r="H120" i="1"/>
  <c r="H119" i="1"/>
  <c r="H118" i="1"/>
  <c r="H116" i="1"/>
  <c r="H115" i="1"/>
  <c r="H114" i="1"/>
  <c r="H113" i="1"/>
  <c r="H112" i="1"/>
  <c r="H111" i="1"/>
  <c r="H110" i="1"/>
  <c r="H109" i="1"/>
  <c r="H108" i="1"/>
  <c r="H106" i="1"/>
  <c r="H105" i="1"/>
  <c r="H104" i="1"/>
  <c r="H103" i="1"/>
  <c r="H102" i="1"/>
  <c r="H101" i="1"/>
  <c r="H100" i="1"/>
  <c r="H99" i="1"/>
  <c r="H98" i="1"/>
  <c r="H96" i="1"/>
  <c r="H95" i="1"/>
  <c r="H94" i="1"/>
  <c r="H93" i="1"/>
  <c r="H92" i="1"/>
  <c r="H91" i="1"/>
  <c r="C63" i="1"/>
  <c r="C62" i="1"/>
  <c r="C44" i="1"/>
  <c r="H41" i="1"/>
  <c r="C41" i="1"/>
  <c r="C39" i="1"/>
  <c r="H37" i="1"/>
  <c r="C37" i="1"/>
  <c r="H38" i="1"/>
  <c r="C38" i="1"/>
  <c r="C36" i="1"/>
  <c r="C33" i="1"/>
  <c r="C22" i="1"/>
  <c r="C21" i="1"/>
  <c r="H26" i="1"/>
  <c r="C26" i="1"/>
  <c r="C99" i="1"/>
  <c r="E99" i="1" s="1"/>
  <c r="C98" i="1"/>
  <c r="F156" i="1"/>
  <c r="F152" i="1"/>
  <c r="F140" i="1"/>
  <c r="F139" i="1"/>
  <c r="F121" i="1"/>
  <c r="G121" i="1"/>
  <c r="G115" i="1"/>
  <c r="F115" i="1"/>
  <c r="F90" i="1"/>
  <c r="F141" i="1" l="1"/>
  <c r="E84" i="1"/>
  <c r="E83" i="1"/>
  <c r="E82" i="1"/>
  <c r="E81" i="1"/>
  <c r="E80" i="1"/>
  <c r="E79" i="1"/>
  <c r="E78" i="1"/>
  <c r="H78" i="1" s="1"/>
  <c r="E76" i="1"/>
  <c r="E75" i="1"/>
  <c r="E74" i="1"/>
  <c r="H74" i="1" s="1"/>
  <c r="E69" i="1"/>
  <c r="E63" i="1"/>
  <c r="E62" i="1"/>
  <c r="E61" i="1"/>
  <c r="H61" i="1" s="1"/>
  <c r="E59" i="1"/>
  <c r="E58" i="1"/>
  <c r="E57" i="1"/>
  <c r="E56" i="1"/>
  <c r="E55" i="1"/>
  <c r="E54" i="1"/>
  <c r="E53" i="1"/>
  <c r="E52" i="1"/>
  <c r="E51" i="1"/>
  <c r="E49" i="1"/>
  <c r="E48" i="1"/>
  <c r="E47" i="1"/>
  <c r="E46" i="1"/>
  <c r="H46" i="1" s="1"/>
  <c r="E45" i="1"/>
  <c r="E44" i="1"/>
  <c r="E43" i="1"/>
  <c r="E42" i="1"/>
  <c r="E41" i="1"/>
  <c r="E39" i="1"/>
  <c r="E38" i="1"/>
  <c r="E37" i="1"/>
  <c r="E36" i="1"/>
  <c r="E35" i="1"/>
  <c r="E34" i="1"/>
  <c r="E33" i="1"/>
  <c r="E32" i="1"/>
  <c r="E31" i="1"/>
  <c r="E29" i="1"/>
  <c r="E28" i="1"/>
  <c r="E27" i="1"/>
  <c r="E26" i="1"/>
  <c r="E25" i="1"/>
  <c r="E24" i="1"/>
  <c r="E23" i="1"/>
  <c r="E22" i="1"/>
  <c r="E21" i="1"/>
  <c r="E19" i="1"/>
  <c r="E18" i="1"/>
  <c r="E17" i="1"/>
  <c r="E16" i="1"/>
  <c r="E15" i="1"/>
  <c r="E14" i="1"/>
  <c r="E13" i="1"/>
  <c r="E12" i="1"/>
  <c r="C79" i="1"/>
  <c r="C75" i="1"/>
  <c r="C51" i="1"/>
  <c r="C27" i="1"/>
  <c r="C12" i="1"/>
  <c r="E11" i="1" l="1"/>
  <c r="H12" i="1" l="1"/>
  <c r="C11" i="1"/>
  <c r="D11" i="1"/>
  <c r="F11" i="1"/>
  <c r="G11" i="1"/>
  <c r="C20" i="1" l="1"/>
  <c r="C97" i="1"/>
  <c r="E153" i="1" l="1"/>
  <c r="H153" i="1" s="1"/>
  <c r="E140" i="1"/>
  <c r="E139" i="1"/>
  <c r="E133" i="1"/>
  <c r="E129" i="1"/>
  <c r="E128" i="1"/>
  <c r="E127" i="1" s="1"/>
  <c r="D127" i="1"/>
  <c r="C127" i="1"/>
  <c r="E121" i="1"/>
  <c r="E118" i="1"/>
  <c r="C117" i="1"/>
  <c r="E113" i="1"/>
  <c r="G107" i="1"/>
  <c r="D107" i="1"/>
  <c r="E116" i="1"/>
  <c r="E115" i="1"/>
  <c r="E114" i="1"/>
  <c r="E110" i="1"/>
  <c r="E104" i="1"/>
  <c r="E103" i="1"/>
  <c r="G97" i="1"/>
  <c r="F97" i="1"/>
  <c r="D97" i="1"/>
  <c r="E98" i="1"/>
  <c r="E97" i="1" l="1"/>
  <c r="E107" i="1"/>
  <c r="G117" i="1"/>
  <c r="F117" i="1"/>
  <c r="F107" i="1"/>
  <c r="G77" i="1" l="1"/>
  <c r="G73" i="1"/>
  <c r="G64" i="1"/>
  <c r="G60" i="1"/>
  <c r="G50" i="1"/>
  <c r="G40" i="1"/>
  <c r="G30" i="1"/>
  <c r="G20" i="1"/>
  <c r="F77" i="1"/>
  <c r="F73" i="1"/>
  <c r="F64" i="1"/>
  <c r="F60" i="1"/>
  <c r="F50" i="1"/>
  <c r="F40" i="1"/>
  <c r="F30" i="1"/>
  <c r="F20" i="1"/>
  <c r="E72" i="1"/>
  <c r="E71" i="1"/>
  <c r="E70" i="1"/>
  <c r="E68" i="1"/>
  <c r="E67" i="1"/>
  <c r="E66" i="1"/>
  <c r="E65" i="1"/>
  <c r="H19" i="1"/>
  <c r="H11" i="1" s="1"/>
  <c r="D77" i="1"/>
  <c r="D73" i="1"/>
  <c r="D64" i="1"/>
  <c r="D60" i="1"/>
  <c r="D50" i="1"/>
  <c r="D40" i="1"/>
  <c r="D30" i="1"/>
  <c r="D20" i="1"/>
  <c r="C77" i="1"/>
  <c r="C73" i="1"/>
  <c r="C64" i="1"/>
  <c r="C50" i="1"/>
  <c r="C40" i="1"/>
  <c r="C30" i="1"/>
  <c r="F10" i="1" l="1"/>
  <c r="E30" i="1"/>
  <c r="H64" i="1"/>
  <c r="E60" i="1"/>
  <c r="H20" i="1"/>
  <c r="E20" i="1"/>
  <c r="E64" i="1"/>
  <c r="C60" i="1"/>
  <c r="C10" i="1" s="1"/>
  <c r="E50" i="1"/>
  <c r="H30" i="1"/>
  <c r="H50" i="1"/>
  <c r="E73" i="1"/>
  <c r="H77" i="1"/>
  <c r="E77" i="1"/>
  <c r="E40" i="1"/>
  <c r="G10" i="1"/>
  <c r="D10" i="1"/>
  <c r="H40" i="1" l="1"/>
  <c r="H73" i="1"/>
  <c r="H60" i="1"/>
  <c r="E161" i="1"/>
  <c r="E160" i="1"/>
  <c r="E159" i="1"/>
  <c r="E158" i="1"/>
  <c r="E157" i="1"/>
  <c r="E156" i="1"/>
  <c r="H156" i="1" s="1"/>
  <c r="E155" i="1"/>
  <c r="H155" i="1" s="1"/>
  <c r="F154" i="1"/>
  <c r="E152" i="1"/>
  <c r="H152" i="1" s="1"/>
  <c r="F150" i="1"/>
  <c r="E141" i="1"/>
  <c r="H141" i="1"/>
  <c r="E138" i="1"/>
  <c r="H138" i="1" s="1"/>
  <c r="F137" i="1"/>
  <c r="F127" i="1"/>
  <c r="H127" i="1" s="1"/>
  <c r="E123" i="1"/>
  <c r="H123" i="1" s="1"/>
  <c r="D154" i="1"/>
  <c r="G150" i="1"/>
  <c r="D150" i="1"/>
  <c r="G141" i="1"/>
  <c r="D141" i="1"/>
  <c r="G137" i="1"/>
  <c r="D137" i="1"/>
  <c r="G127" i="1"/>
  <c r="D117" i="1"/>
  <c r="G89" i="1"/>
  <c r="F89" i="1"/>
  <c r="D89" i="1"/>
  <c r="C154" i="1"/>
  <c r="C141" i="1"/>
  <c r="C137" i="1"/>
  <c r="C107" i="1"/>
  <c r="C89" i="1"/>
  <c r="E90" i="1"/>
  <c r="H90" i="1" s="1"/>
  <c r="H89" i="1" l="1"/>
  <c r="E154" i="1"/>
  <c r="E89" i="1"/>
  <c r="D88" i="1"/>
  <c r="D163" i="1" s="1"/>
  <c r="H107" i="1"/>
  <c r="E150" i="1"/>
  <c r="E137" i="1"/>
  <c r="C88" i="1"/>
  <c r="E117" i="1"/>
  <c r="H97" i="1"/>
  <c r="G88" i="1"/>
  <c r="G163" i="1" s="1"/>
  <c r="F88" i="1"/>
  <c r="H10" i="1"/>
  <c r="H154" i="1" l="1"/>
  <c r="F163" i="1"/>
  <c r="H137" i="1"/>
  <c r="H150" i="1"/>
  <c r="H117" i="1"/>
  <c r="E88" i="1"/>
  <c r="E10" i="1"/>
  <c r="H88" i="1" l="1"/>
  <c r="H163" i="1" s="1"/>
  <c r="E163" i="1"/>
</calcChain>
</file>

<file path=xl/sharedStrings.xml><?xml version="1.0" encoding="utf-8"?>
<sst xmlns="http://schemas.openxmlformats.org/spreadsheetml/2006/main" count="165" uniqueCount="92">
  <si>
    <t>Formato 6 a) Estado Analítico del Ejercicio del Presupuesto de Egresos Detallado - LDF</t>
  </si>
  <si>
    <t>(Clasificación por Objeto del Gasto)</t>
  </si>
  <si>
    <t>Gobierno del Estado de México</t>
  </si>
  <si>
    <t>Estado Analítico del Ejercicio del Presupuesto de Egresos Detallado - LDF</t>
  </si>
  <si>
    <t xml:space="preserve">Clasificación por Objeto del Gasto (Capítulo y Concepto) 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</si>
  <si>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</si>
  <si>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</si>
  <si>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</si>
  <si>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</si>
  <si>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</si>
  <si>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</si>
  <si>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</si>
  <si>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</si>
  <si>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</si>
  <si>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</si>
  <si>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</si>
  <si>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</si>
  <si>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</si>
  <si>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</si>
  <si>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</si>
  <si>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</si>
  <si>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</si>
  <si>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</si>
  <si>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a8) Impuesto sobre nóminas y otros que se deriven de una relación laboral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</si>
  <si>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</si>
  <si>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</si>
  <si>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</si>
  <si>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</si>
  <si>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</si>
  <si>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</si>
  <si>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</si>
  <si>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</si>
  <si>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</si>
  <si>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</si>
  <si>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</si>
  <si>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</si>
  <si>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</si>
  <si>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</si>
  <si>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</si>
  <si>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</si>
  <si>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</si>
  <si>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</si>
  <si>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</si>
  <si>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</si>
  <si>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</si>
  <si>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</si>
  <si>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</si>
  <si>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</si>
  <si>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</si>
  <si>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</si>
  <si>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</si>
  <si>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</si>
  <si>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</si>
  <si>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</si>
  <si>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</si>
  <si>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</si>
  <si>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</si>
  <si>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</si>
  <si>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</si>
  <si>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</si>
  <si>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</si>
  <si>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</si>
  <si>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</si>
  <si>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</si>
  <si>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</si>
  <si>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</si>
  <si>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</si>
  <si>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</si>
  <si>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</si>
  <si>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</si>
  <si>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</si>
  <si>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</si>
  <si>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</si>
  <si>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</si>
  <si>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</si>
  <si>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</si>
  <si>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</si>
  <si>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</si>
  <si>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</si>
  <si>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</si>
  <si>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</si>
  <si>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</si>
  <si>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</si>
  <si>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</si>
  <si>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</si>
  <si>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</si>
  <si>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</si>
  <si>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</si>
  <si>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</si>
  <si>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</si>
  <si>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</si>
  <si>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1 de enero al 30 de septiembre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</si>
</sst>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6.5"/>
      <color theme="1"/>
      <name val="Arial"/>
      <family val="2"/>
    </font>
    <font>
      <sz val="6.5"/>
      <color theme="1"/>
      <name val="Arial"/>
      <family val="2"/>
    </font>
    <font>
      <sz val="6.5"/>
      <color theme="1"/>
      <name val="Calibri"/>
      <family val="2"/>
      <scheme val="minor"/>
    </font>
    <font>
      <b/>
      <sz val="6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2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3" fontId="3" fillId="0" borderId="12" xfId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64" fontId="5" fillId="0" borderId="0" xfId="0" applyNumberFormat="1" applyFont="1"/>
    <xf numFmtId="164" fontId="5" fillId="0" borderId="10" xfId="0" applyNumberFormat="1" applyFont="1" applyBorder="1"/>
    <xf numFmtId="164" fontId="5" fillId="0" borderId="11" xfId="0" applyNumberFormat="1" applyFont="1" applyBorder="1"/>
    <xf numFmtId="164" fontId="5" fillId="0" borderId="12" xfId="0" applyNumberFormat="1" applyFont="1" applyBorder="1"/>
    <xf numFmtId="164" fontId="6" fillId="0" borderId="11" xfId="0" applyNumberFormat="1" applyFont="1" applyBorder="1"/>
    <xf numFmtId="164" fontId="6" fillId="0" borderId="10" xfId="0" applyNumberFormat="1" applyFont="1" applyBorder="1"/>
    <xf numFmtId="164" fontId="0" fillId="0" borderId="0" xfId="0" applyNumberFormat="1"/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43" fontId="0" fillId="0" borderId="0" xfId="1" applyFont="1"/>
    <xf numFmtId="164" fontId="5" fillId="0" borderId="11" xfId="0" applyNumberFormat="1" applyFont="1" applyFill="1" applyBorder="1"/>
    <xf numFmtId="43" fontId="0" fillId="0" borderId="0" xfId="0" applyNumberFormat="1"/>
    <xf numFmtId="164" fontId="7" fillId="0" borderId="0" xfId="0" applyNumberFormat="1" applyFont="1"/>
    <xf numFmtId="0" fontId="8" fillId="0" borderId="0" xfId="0" applyFont="1"/>
    <xf numFmtId="165" fontId="8" fillId="0" borderId="0" xfId="1" applyNumberFormat="1" applyFont="1"/>
    <xf numFmtId="164" fontId="0" fillId="0" borderId="0" xfId="0" applyNumberFormat="1" applyBorder="1"/>
    <xf numFmtId="164" fontId="5" fillId="0" borderId="0" xfId="0" applyNumberFormat="1" applyFont="1" applyFill="1" applyBorder="1"/>
    <xf numFmtId="0" fontId="0" fillId="0" borderId="0" xfId="0" applyBorder="1"/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0"/>
  <sheetViews>
    <sheetView tabSelected="1" zoomScaleNormal="100" workbookViewId="0">
      <selection activeCell="E180" sqref="E180"/>
    </sheetView>
  </sheetViews>
  <sheetFormatPr baseColWidth="10" defaultColWidth="11.42578125" defaultRowHeight="15" x14ac:dyDescent="0.25"/>
  <cols>
    <col min="1" max="1" width="3.140625" customWidth="1"/>
    <col min="2" max="2" width="55.140625" customWidth="1"/>
    <col min="3" max="3" width="12.5703125" customWidth="1"/>
    <col min="4" max="4" width="15.140625" customWidth="1"/>
    <col min="5" max="5" width="15.28515625" customWidth="1"/>
    <col min="6" max="6" width="14" customWidth="1"/>
    <col min="7" max="7" width="12.7109375" customWidth="1"/>
    <col min="8" max="8" width="13.7109375" customWidth="1"/>
    <col min="9" max="9" width="11.7109375" bestFit="1" customWidth="1"/>
    <col min="10" max="10" width="15.140625" bestFit="1" customWidth="1"/>
    <col min="11" max="11" width="14.140625" bestFit="1" customWidth="1"/>
    <col min="12" max="13" width="15.140625" bestFit="1" customWidth="1"/>
  </cols>
  <sheetData>
    <row r="1" spans="1:11" x14ac:dyDescent="0.25">
      <c r="A1" s="31" t="s">
        <v>0</v>
      </c>
      <c r="B1" s="31"/>
      <c r="C1" s="31"/>
      <c r="D1" s="31"/>
      <c r="E1" s="31"/>
      <c r="F1" s="31"/>
      <c r="G1" s="31"/>
      <c r="H1" s="31"/>
    </row>
    <row r="2" spans="1:11" x14ac:dyDescent="0.25">
      <c r="A2" s="32" t="s">
        <v>1</v>
      </c>
      <c r="B2" s="32"/>
      <c r="C2" s="32"/>
      <c r="D2" s="32"/>
      <c r="E2" s="32"/>
      <c r="F2" s="32"/>
      <c r="G2" s="32"/>
      <c r="H2" s="32"/>
    </row>
    <row r="3" spans="1:11" x14ac:dyDescent="0.25">
      <c r="A3" s="33" t="s">
        <v>2</v>
      </c>
      <c r="B3" s="34"/>
      <c r="C3" s="34"/>
      <c r="D3" s="34"/>
      <c r="E3" s="34"/>
      <c r="F3" s="34"/>
      <c r="G3" s="34"/>
      <c r="H3" s="35"/>
    </row>
    <row r="4" spans="1:11" x14ac:dyDescent="0.25">
      <c r="A4" s="36" t="s">
        <v>3</v>
      </c>
      <c r="B4" s="37"/>
      <c r="C4" s="37"/>
      <c r="D4" s="37"/>
      <c r="E4" s="37"/>
      <c r="F4" s="37"/>
      <c r="G4" s="37"/>
      <c r="H4" s="38"/>
    </row>
    <row r="5" spans="1:11" x14ac:dyDescent="0.25">
      <c r="A5" s="36" t="s">
        <v>4</v>
      </c>
      <c r="B5" s="37"/>
      <c r="C5" s="37"/>
      <c r="D5" s="37"/>
      <c r="E5" s="37"/>
      <c r="F5" s="37"/>
      <c r="G5" s="37"/>
      <c r="H5" s="38"/>
    </row>
    <row r="6" spans="1:11" x14ac:dyDescent="0.25">
      <c r="A6" s="36" t="s">
        <v>91</v>
      </c>
      <c r="B6" s="37"/>
      <c r="C6" s="37"/>
      <c r="D6" s="37"/>
      <c r="E6" s="37"/>
      <c r="F6" s="37"/>
      <c r="G6" s="37"/>
      <c r="H6" s="38"/>
    </row>
    <row r="7" spans="1:11" x14ac:dyDescent="0.25">
      <c r="A7" s="39" t="s">
        <v>5</v>
      </c>
      <c r="B7" s="40"/>
      <c r="C7" s="40"/>
      <c r="D7" s="40"/>
      <c r="E7" s="40"/>
      <c r="F7" s="40"/>
      <c r="G7" s="40"/>
      <c r="H7" s="41"/>
    </row>
    <row r="8" spans="1:11" x14ac:dyDescent="0.25">
      <c r="A8" s="42" t="s">
        <v>6</v>
      </c>
      <c r="B8" s="42"/>
      <c r="C8" s="42" t="s">
        <v>7</v>
      </c>
      <c r="D8" s="42"/>
      <c r="E8" s="42"/>
      <c r="F8" s="42"/>
      <c r="G8" s="42"/>
      <c r="H8" s="42" t="s">
        <v>8</v>
      </c>
    </row>
    <row r="9" spans="1:11" ht="18" x14ac:dyDescent="0.25">
      <c r="A9" s="42"/>
      <c r="B9" s="42"/>
      <c r="C9" s="17" t="s">
        <v>9</v>
      </c>
      <c r="D9" s="1" t="s">
        <v>10</v>
      </c>
      <c r="E9" s="17" t="s">
        <v>11</v>
      </c>
      <c r="F9" s="17" t="s">
        <v>12</v>
      </c>
      <c r="G9" s="17" t="s">
        <v>13</v>
      </c>
      <c r="H9" s="42"/>
    </row>
    <row r="10" spans="1:11" x14ac:dyDescent="0.25">
      <c r="A10" s="43" t="s">
        <v>14</v>
      </c>
      <c r="B10" s="44"/>
      <c r="C10" s="13">
        <f>+C11+C20+C30+C40+C50+C60+C64+C73+C77</f>
        <v>136466315.83899999</v>
      </c>
      <c r="D10" s="13">
        <f t="shared" ref="D10:H10" si="0">+D11+D20+D30+D40+D50+D60+D64+D73+D77</f>
        <v>571970.59582000191</v>
      </c>
      <c r="E10" s="13">
        <f t="shared" si="0"/>
        <v>137038286.43482</v>
      </c>
      <c r="F10" s="13">
        <f>+F11+F20+F30+F40+F50+F60+F64+F73+F77</f>
        <v>113874063.82588001</v>
      </c>
      <c r="G10" s="13">
        <f t="shared" si="0"/>
        <v>111368081.17208001</v>
      </c>
      <c r="H10" s="13">
        <f t="shared" si="0"/>
        <v>23164222.608939994</v>
      </c>
      <c r="J10" s="14"/>
      <c r="K10" s="14"/>
    </row>
    <row r="11" spans="1:11" x14ac:dyDescent="0.25">
      <c r="A11" s="29" t="s">
        <v>15</v>
      </c>
      <c r="B11" s="30"/>
      <c r="C11" s="10">
        <f>SUM(C12:C19)</f>
        <v>51824112.900000006</v>
      </c>
      <c r="D11" s="10">
        <f t="shared" ref="D11" si="1">SUM(D12:D19)</f>
        <v>-2721080.0366400005</v>
      </c>
      <c r="E11" s="10">
        <f>SUM(E12:E19)</f>
        <v>49103032.863360003</v>
      </c>
      <c r="F11" s="10">
        <f>SUM(F12:F19)</f>
        <v>30329367.61355</v>
      </c>
      <c r="G11" s="10">
        <f>SUM(G12:G19)</f>
        <v>30329367.61355</v>
      </c>
      <c r="H11" s="10">
        <f>SUM(H12:H19)</f>
        <v>18773665.249809999</v>
      </c>
      <c r="I11" s="14"/>
    </row>
    <row r="12" spans="1:11" x14ac:dyDescent="0.25">
      <c r="A12" s="15"/>
      <c r="B12" s="16" t="s">
        <v>16</v>
      </c>
      <c r="C12" s="8">
        <f>25469576.397+5037177.5-7071778</f>
        <v>23434975.897</v>
      </c>
      <c r="D12" s="10">
        <v>-1015227.1935200002</v>
      </c>
      <c r="E12" s="10">
        <f>+C12+D12</f>
        <v>22419748.703479998</v>
      </c>
      <c r="F12" s="10">
        <f>16588418.43047-6452717.7</f>
        <v>10135700.730469998</v>
      </c>
      <c r="G12" s="10">
        <f>16588418.43047-6452717.7</f>
        <v>10135700.730469998</v>
      </c>
      <c r="H12" s="10">
        <f>+E12-F12</f>
        <v>12284047.97301</v>
      </c>
    </row>
    <row r="13" spans="1:11" x14ac:dyDescent="0.25">
      <c r="A13" s="15"/>
      <c r="B13" s="16" t="s">
        <v>17</v>
      </c>
      <c r="C13" s="8">
        <v>468915.29100000003</v>
      </c>
      <c r="D13" s="10">
        <v>-77889.694759999998</v>
      </c>
      <c r="E13" s="10">
        <f t="shared" ref="E13:E19" si="2">+C13+D13</f>
        <v>391025.59624000004</v>
      </c>
      <c r="F13" s="10">
        <v>260915.14131000006</v>
      </c>
      <c r="G13" s="10">
        <v>260915.14131000006</v>
      </c>
      <c r="H13" s="10">
        <v>130110.45492999995</v>
      </c>
      <c r="J13" s="14"/>
    </row>
    <row r="14" spans="1:11" x14ac:dyDescent="0.25">
      <c r="A14" s="15"/>
      <c r="B14" s="16" t="s">
        <v>18</v>
      </c>
      <c r="C14" s="8">
        <v>16496232.707400002</v>
      </c>
      <c r="D14" s="10">
        <v>-1011135.0904300002</v>
      </c>
      <c r="E14" s="10">
        <f t="shared" si="2"/>
        <v>15485097.616970001</v>
      </c>
      <c r="F14" s="10">
        <v>9885012.8389100023</v>
      </c>
      <c r="G14" s="10">
        <v>9885012.8389100023</v>
      </c>
      <c r="H14" s="10">
        <v>5600084.7780599995</v>
      </c>
    </row>
    <row r="15" spans="1:11" x14ac:dyDescent="0.25">
      <c r="A15" s="15"/>
      <c r="B15" s="16" t="s">
        <v>19</v>
      </c>
      <c r="C15" s="8">
        <v>4633063.8025200004</v>
      </c>
      <c r="D15" s="10">
        <v>-456732.48446000007</v>
      </c>
      <c r="E15" s="10">
        <f t="shared" si="2"/>
        <v>4176331.3180600004</v>
      </c>
      <c r="F15" s="10">
        <v>4704939.014990001</v>
      </c>
      <c r="G15" s="10">
        <v>4704939.014990001</v>
      </c>
      <c r="H15" s="10">
        <v>-528607.69692999986</v>
      </c>
    </row>
    <row r="16" spans="1:11" x14ac:dyDescent="0.25">
      <c r="A16" s="15"/>
      <c r="B16" s="16" t="s">
        <v>20</v>
      </c>
      <c r="C16" s="8">
        <v>6555900.122080001</v>
      </c>
      <c r="D16" s="10">
        <v>-149133.13139000002</v>
      </c>
      <c r="E16" s="10">
        <f t="shared" si="2"/>
        <v>6406766.9906900013</v>
      </c>
      <c r="F16" s="10">
        <v>5259284.2953699995</v>
      </c>
      <c r="G16" s="10">
        <v>5259284.2953699995</v>
      </c>
      <c r="H16" s="10">
        <v>1147482.6953200006</v>
      </c>
    </row>
    <row r="17" spans="1:10" x14ac:dyDescent="0.25">
      <c r="A17" s="15"/>
      <c r="B17" s="16" t="s">
        <v>21</v>
      </c>
      <c r="C17" s="8">
        <v>757.71799999999996</v>
      </c>
      <c r="D17" s="10">
        <v>0</v>
      </c>
      <c r="E17" s="10">
        <f t="shared" si="2"/>
        <v>757.71799999999996</v>
      </c>
      <c r="F17" s="10">
        <v>0</v>
      </c>
      <c r="G17" s="10">
        <v>0</v>
      </c>
      <c r="H17" s="10">
        <v>757.71799999999996</v>
      </c>
    </row>
    <row r="18" spans="1:10" x14ac:dyDescent="0.25">
      <c r="A18" s="15"/>
      <c r="B18" s="16" t="s">
        <v>22</v>
      </c>
      <c r="C18" s="10">
        <v>234267.36199999999</v>
      </c>
      <c r="D18" s="10">
        <v>-10962.442080000003</v>
      </c>
      <c r="E18" s="10">
        <f t="shared" si="2"/>
        <v>223304.91991999999</v>
      </c>
      <c r="F18" s="10">
        <v>83515.592499999999</v>
      </c>
      <c r="G18" s="10">
        <v>83515.592499999999</v>
      </c>
      <c r="H18" s="10">
        <v>139789.32742000005</v>
      </c>
    </row>
    <row r="19" spans="1:10" x14ac:dyDescent="0.25">
      <c r="A19" s="15"/>
      <c r="B19" s="16" t="s">
        <v>23</v>
      </c>
      <c r="C19" s="19">
        <v>0</v>
      </c>
      <c r="D19" s="19">
        <v>0</v>
      </c>
      <c r="E19" s="10">
        <f t="shared" si="2"/>
        <v>0</v>
      </c>
      <c r="F19" s="19">
        <v>0</v>
      </c>
      <c r="G19" s="19">
        <v>0</v>
      </c>
      <c r="H19" s="10">
        <f t="shared" ref="H19" si="3">+E19-F19</f>
        <v>0</v>
      </c>
    </row>
    <row r="20" spans="1:10" x14ac:dyDescent="0.25">
      <c r="A20" s="29" t="s">
        <v>24</v>
      </c>
      <c r="B20" s="30"/>
      <c r="C20" s="10">
        <f>SUM(C21:C29)</f>
        <v>1594421.0720000002</v>
      </c>
      <c r="D20" s="10">
        <f t="shared" ref="D20" si="4">SUM(D21:D29)</f>
        <v>-99859.840560000026</v>
      </c>
      <c r="E20" s="10">
        <f>SUM(E21:E29)</f>
        <v>1494561.23144</v>
      </c>
      <c r="F20" s="10">
        <f>SUM(F21:F29)</f>
        <v>1003838.1795900001</v>
      </c>
      <c r="G20" s="10">
        <f>SUM(G21:G29)</f>
        <v>922336.50410000002</v>
      </c>
      <c r="H20" s="10">
        <f>SUM(H21:H29)</f>
        <v>490723.05185000005</v>
      </c>
    </row>
    <row r="21" spans="1:10" x14ac:dyDescent="0.25">
      <c r="A21" s="15"/>
      <c r="B21" s="16" t="s">
        <v>25</v>
      </c>
      <c r="C21" s="10">
        <f>253032.882-1209.2</f>
        <v>251823.682</v>
      </c>
      <c r="D21" s="10">
        <v>-14242.91725</v>
      </c>
      <c r="E21" s="10">
        <f>+C21+D21</f>
        <v>237580.76475</v>
      </c>
      <c r="F21" s="10">
        <f>145374.76894-1209.2</f>
        <v>144165.56894</v>
      </c>
      <c r="G21" s="10">
        <f>138823.79661-1209.2</f>
        <v>137614.59660999998</v>
      </c>
      <c r="H21" s="10">
        <f>+E21-F21</f>
        <v>93415.195810000005</v>
      </c>
    </row>
    <row r="22" spans="1:10" x14ac:dyDescent="0.25">
      <c r="A22" s="15"/>
      <c r="B22" s="16" t="s">
        <v>26</v>
      </c>
      <c r="C22" s="10">
        <f>786341.917-13354.7</f>
        <v>772987.21700000006</v>
      </c>
      <c r="D22" s="10">
        <v>-5523.4880000000003</v>
      </c>
      <c r="E22" s="10">
        <f t="shared" ref="E22:E29" si="5">+C22+D22</f>
        <v>767463.72900000005</v>
      </c>
      <c r="F22" s="10">
        <f>530752.21561-13354.7</f>
        <v>517397.51560999994</v>
      </c>
      <c r="G22" s="10">
        <f>459147.20054-13354.7</f>
        <v>445792.50053999998</v>
      </c>
      <c r="H22" s="10">
        <f>+E22-F22</f>
        <v>250066.21339000011</v>
      </c>
    </row>
    <row r="23" spans="1:10" x14ac:dyDescent="0.25">
      <c r="A23" s="15"/>
      <c r="B23" s="16" t="s">
        <v>27</v>
      </c>
      <c r="C23" s="10">
        <v>850.17</v>
      </c>
      <c r="D23" s="10">
        <v>22.42</v>
      </c>
      <c r="E23" s="10">
        <f t="shared" si="5"/>
        <v>872.58999999999992</v>
      </c>
      <c r="F23" s="10">
        <v>542.36470000000008</v>
      </c>
      <c r="G23" s="10">
        <v>542.36470000000008</v>
      </c>
      <c r="H23" s="10">
        <v>330.22529999999995</v>
      </c>
    </row>
    <row r="24" spans="1:10" x14ac:dyDescent="0.25">
      <c r="A24" s="15"/>
      <c r="B24" s="16" t="s">
        <v>28</v>
      </c>
      <c r="C24" s="10">
        <v>58151.286</v>
      </c>
      <c r="D24" s="10">
        <v>-13151.132080000001</v>
      </c>
      <c r="E24" s="10">
        <f t="shared" si="5"/>
        <v>45000.153919999997</v>
      </c>
      <c r="F24" s="10">
        <v>28219.847670000003</v>
      </c>
      <c r="G24" s="10">
        <v>26736.859610000003</v>
      </c>
      <c r="H24" s="10">
        <v>16780.306250000009</v>
      </c>
    </row>
    <row r="25" spans="1:10" x14ac:dyDescent="0.25">
      <c r="A25" s="15"/>
      <c r="B25" s="16" t="s">
        <v>29</v>
      </c>
      <c r="C25" s="10">
        <v>26312.001</v>
      </c>
      <c r="D25" s="10">
        <v>-9140.0710800000015</v>
      </c>
      <c r="E25" s="10">
        <f t="shared" si="5"/>
        <v>17171.929919999999</v>
      </c>
      <c r="F25" s="10">
        <v>5177.7677900000008</v>
      </c>
      <c r="G25" s="10">
        <v>5035.700890000001</v>
      </c>
      <c r="H25" s="10">
        <v>11994.162130000001</v>
      </c>
    </row>
    <row r="26" spans="1:10" x14ac:dyDescent="0.25">
      <c r="A26" s="15"/>
      <c r="B26" s="16" t="s">
        <v>30</v>
      </c>
      <c r="C26" s="10">
        <f>294790.062</f>
        <v>294790.06199999998</v>
      </c>
      <c r="D26" s="10">
        <v>-47035.060370000007</v>
      </c>
      <c r="E26" s="10">
        <f t="shared" si="5"/>
        <v>247755.00162999996</v>
      </c>
      <c r="F26" s="10">
        <v>193709.40329000005</v>
      </c>
      <c r="G26" s="10">
        <v>192832.94183000005</v>
      </c>
      <c r="H26" s="10">
        <f>+E26-F26</f>
        <v>54045.59833999991</v>
      </c>
    </row>
    <row r="27" spans="1:10" x14ac:dyDescent="0.25">
      <c r="A27" s="15"/>
      <c r="B27" s="16" t="s">
        <v>31</v>
      </c>
      <c r="C27" s="10">
        <f>142578.79-25</f>
        <v>142553.79</v>
      </c>
      <c r="D27" s="10">
        <v>-12611.815920000001</v>
      </c>
      <c r="E27" s="10">
        <f t="shared" si="5"/>
        <v>129941.97408000001</v>
      </c>
      <c r="F27" s="10">
        <f>88160.84729-25</f>
        <v>88135.847290000005</v>
      </c>
      <c r="G27" s="10">
        <f>88008.75509-25</f>
        <v>87983.755090000006</v>
      </c>
      <c r="H27" s="10">
        <v>41806.126790000009</v>
      </c>
    </row>
    <row r="28" spans="1:10" x14ac:dyDescent="0.25">
      <c r="A28" s="15"/>
      <c r="B28" s="16" t="s">
        <v>32</v>
      </c>
      <c r="C28" s="10">
        <v>3048.8069999999998</v>
      </c>
      <c r="D28" s="10">
        <v>-939.78899999999999</v>
      </c>
      <c r="E28" s="10">
        <f t="shared" si="5"/>
        <v>2109.018</v>
      </c>
      <c r="F28" s="10">
        <v>1.2493800000000002</v>
      </c>
      <c r="G28" s="10">
        <v>1.2493800000000002</v>
      </c>
      <c r="H28" s="10">
        <v>2107.7686200000003</v>
      </c>
    </row>
    <row r="29" spans="1:10" x14ac:dyDescent="0.25">
      <c r="A29" s="15"/>
      <c r="B29" s="16" t="s">
        <v>33</v>
      </c>
      <c r="C29" s="10">
        <v>43904.057000000001</v>
      </c>
      <c r="D29" s="10">
        <v>2762.0131399999987</v>
      </c>
      <c r="E29" s="10">
        <f t="shared" si="5"/>
        <v>46666.070139999996</v>
      </c>
      <c r="F29" s="10">
        <v>26488.61492</v>
      </c>
      <c r="G29" s="10">
        <v>25796.535450000003</v>
      </c>
      <c r="H29" s="10">
        <v>20177.455220000007</v>
      </c>
    </row>
    <row r="30" spans="1:10" x14ac:dyDescent="0.25">
      <c r="A30" s="29" t="s">
        <v>34</v>
      </c>
      <c r="B30" s="30"/>
      <c r="C30" s="10">
        <f t="shared" ref="C30:H30" si="6">SUM(C31:C39)</f>
        <v>5189676.4840000002</v>
      </c>
      <c r="D30" s="10">
        <f t="shared" si="6"/>
        <v>-332980.37863999989</v>
      </c>
      <c r="E30" s="10">
        <f t="shared" si="6"/>
        <v>4856696.1053600004</v>
      </c>
      <c r="F30" s="10">
        <f t="shared" si="6"/>
        <v>4724067.0436200006</v>
      </c>
      <c r="G30" s="10">
        <f t="shared" si="6"/>
        <v>4305978.6943800002</v>
      </c>
      <c r="H30" s="10">
        <f t="shared" si="6"/>
        <v>132629.06173999957</v>
      </c>
      <c r="J30" s="14"/>
    </row>
    <row r="31" spans="1:10" x14ac:dyDescent="0.25">
      <c r="A31" s="15"/>
      <c r="B31" s="16" t="s">
        <v>35</v>
      </c>
      <c r="C31" s="10">
        <v>831029.875</v>
      </c>
      <c r="D31" s="10">
        <v>-135800.75756</v>
      </c>
      <c r="E31" s="10">
        <f>+C31+D31</f>
        <v>695229.11743999994</v>
      </c>
      <c r="F31" s="10">
        <v>280145.36109000002</v>
      </c>
      <c r="G31" s="10">
        <v>263441.79029000003</v>
      </c>
      <c r="H31" s="10">
        <v>415083.75635000004</v>
      </c>
    </row>
    <row r="32" spans="1:10" x14ac:dyDescent="0.25">
      <c r="A32" s="15"/>
      <c r="B32" s="16" t="s">
        <v>36</v>
      </c>
      <c r="C32" s="10">
        <v>362473.00599999999</v>
      </c>
      <c r="D32" s="10">
        <v>-18794.963760000002</v>
      </c>
      <c r="E32" s="10">
        <f t="shared" ref="E32:E39" si="7">+C32+D32</f>
        <v>343678.04223999998</v>
      </c>
      <c r="F32" s="10">
        <v>233190.63337000003</v>
      </c>
      <c r="G32" s="10">
        <v>207210.54868000004</v>
      </c>
      <c r="H32" s="10">
        <v>110487.40886999997</v>
      </c>
    </row>
    <row r="33" spans="1:10" x14ac:dyDescent="0.25">
      <c r="A33" s="15"/>
      <c r="B33" s="16" t="s">
        <v>37</v>
      </c>
      <c r="C33" s="10">
        <f>1367737.539-827.1</f>
        <v>1366910.439</v>
      </c>
      <c r="D33" s="10">
        <v>-243528.30815</v>
      </c>
      <c r="E33" s="10">
        <f t="shared" si="7"/>
        <v>1123382.1308500001</v>
      </c>
      <c r="F33" s="10">
        <f>698418.20432-827.1</f>
        <v>697591.10432000004</v>
      </c>
      <c r="G33" s="10">
        <f>487555.30801-827.1</f>
        <v>486728.20801</v>
      </c>
      <c r="H33" s="10">
        <v>425791.02653000009</v>
      </c>
    </row>
    <row r="34" spans="1:10" x14ac:dyDescent="0.25">
      <c r="A34" s="15"/>
      <c r="B34" s="16" t="s">
        <v>38</v>
      </c>
      <c r="C34" s="10">
        <v>850758.31400000001</v>
      </c>
      <c r="D34" s="10">
        <v>-16647.332640000001</v>
      </c>
      <c r="E34" s="10">
        <f t="shared" si="7"/>
        <v>834110.98135999998</v>
      </c>
      <c r="F34" s="10">
        <v>267369.79291000002</v>
      </c>
      <c r="G34" s="10">
        <v>186721.46352000002</v>
      </c>
      <c r="H34" s="10">
        <v>566741.18845000002</v>
      </c>
    </row>
    <row r="35" spans="1:10" x14ac:dyDescent="0.25">
      <c r="A35" s="15"/>
      <c r="B35" s="16" t="s">
        <v>39</v>
      </c>
      <c r="C35" s="10">
        <v>502262.89399999997</v>
      </c>
      <c r="D35" s="10">
        <v>-31290.379430000001</v>
      </c>
      <c r="E35" s="10">
        <f t="shared" si="7"/>
        <v>470972.51457</v>
      </c>
      <c r="F35" s="10">
        <v>434351.37647000008</v>
      </c>
      <c r="G35" s="10">
        <v>422753.58156000008</v>
      </c>
      <c r="H35" s="10">
        <v>36621.138099999902</v>
      </c>
    </row>
    <row r="36" spans="1:10" x14ac:dyDescent="0.25">
      <c r="A36" s="15"/>
      <c r="B36" s="16" t="s">
        <v>40</v>
      </c>
      <c r="C36" s="10">
        <f>175990.408</f>
        <v>175990.408</v>
      </c>
      <c r="D36" s="10">
        <v>-10693.245980000002</v>
      </c>
      <c r="E36" s="10">
        <f t="shared" si="7"/>
        <v>165297.16201999999</v>
      </c>
      <c r="F36" s="10">
        <v>189449.99401000005</v>
      </c>
      <c r="G36" s="10">
        <v>186598.33168000003</v>
      </c>
      <c r="H36" s="10">
        <v>-24152.831990000039</v>
      </c>
    </row>
    <row r="37" spans="1:10" x14ac:dyDescent="0.25">
      <c r="A37" s="15"/>
      <c r="B37" s="16" t="s">
        <v>41</v>
      </c>
      <c r="C37" s="10">
        <f>71838.398-1204.1</f>
        <v>70634.297999999995</v>
      </c>
      <c r="D37" s="10">
        <v>-10436.695210000002</v>
      </c>
      <c r="E37" s="10">
        <f t="shared" si="7"/>
        <v>60197.60278999999</v>
      </c>
      <c r="F37" s="10">
        <f>44825.81376-1204.1</f>
        <v>43621.713759999999</v>
      </c>
      <c r="G37" s="10">
        <f>42264.68064-1204.1</f>
        <v>41060.58064</v>
      </c>
      <c r="H37" s="10">
        <f>+E37-F37</f>
        <v>16575.889029999991</v>
      </c>
    </row>
    <row r="38" spans="1:10" x14ac:dyDescent="0.25">
      <c r="A38" s="15"/>
      <c r="B38" s="16" t="s">
        <v>42</v>
      </c>
      <c r="C38" s="10">
        <f>195195.264-30565.3</f>
        <v>164629.96400000001</v>
      </c>
      <c r="D38" s="10">
        <v>143126.40432000003</v>
      </c>
      <c r="E38" s="10">
        <f t="shared" si="7"/>
        <v>307756.36832000001</v>
      </c>
      <c r="F38" s="10">
        <f>288232.01428-30565.3</f>
        <v>257666.71428000001</v>
      </c>
      <c r="G38" s="10">
        <f>224322.29221-30565.3</f>
        <v>193756.99221000003</v>
      </c>
      <c r="H38" s="10">
        <f>+E38-F38</f>
        <v>50089.654039999994</v>
      </c>
    </row>
    <row r="39" spans="1:10" x14ac:dyDescent="0.25">
      <c r="A39" s="15"/>
      <c r="B39" s="16" t="s">
        <v>43</v>
      </c>
      <c r="C39" s="10">
        <f>865029.286-42</f>
        <v>864987.28599999996</v>
      </c>
      <c r="D39" s="10">
        <v>-8915.10023</v>
      </c>
      <c r="E39" s="10">
        <f t="shared" si="7"/>
        <v>856072.18576999998</v>
      </c>
      <c r="F39" s="10">
        <f>2320722.35341-42</f>
        <v>2320680.35341</v>
      </c>
      <c r="G39" s="10">
        <f>2317749.19779-42</f>
        <v>2317707.1977900001</v>
      </c>
      <c r="H39" s="10">
        <f>+E39-F39</f>
        <v>-1464608.1676400001</v>
      </c>
    </row>
    <row r="40" spans="1:10" x14ac:dyDescent="0.25">
      <c r="A40" s="29" t="s">
        <v>44</v>
      </c>
      <c r="B40" s="30"/>
      <c r="C40" s="10">
        <f t="shared" ref="C40:H40" si="8">SUM(C41:C49)</f>
        <v>26139396.475999992</v>
      </c>
      <c r="D40" s="10">
        <f t="shared" si="8"/>
        <v>3594879.2430100022</v>
      </c>
      <c r="E40" s="10">
        <f t="shared" si="8"/>
        <v>29734275.719009999</v>
      </c>
      <c r="F40" s="10">
        <f t="shared" si="8"/>
        <v>27655162.21535001</v>
      </c>
      <c r="G40" s="10">
        <f t="shared" si="8"/>
        <v>27584268.190610006</v>
      </c>
      <c r="H40" s="10">
        <f t="shared" si="8"/>
        <v>2079113.5036599967</v>
      </c>
      <c r="J40" s="14"/>
    </row>
    <row r="41" spans="1:10" x14ac:dyDescent="0.25">
      <c r="A41" s="15"/>
      <c r="B41" s="16" t="s">
        <v>45</v>
      </c>
      <c r="C41" s="10">
        <f>10825214.222</f>
        <v>10825214.221999999</v>
      </c>
      <c r="D41" s="10">
        <v>3134075.9249999998</v>
      </c>
      <c r="E41" s="10">
        <f>+C41+D41</f>
        <v>13959290.147</v>
      </c>
      <c r="F41" s="10">
        <v>10630309.73825</v>
      </c>
      <c r="G41" s="10">
        <v>10630309.73825</v>
      </c>
      <c r="H41" s="10">
        <f>+E41-F41</f>
        <v>3328980.4087499995</v>
      </c>
    </row>
    <row r="42" spans="1:10" x14ac:dyDescent="0.25">
      <c r="A42" s="15"/>
      <c r="B42" s="16" t="s">
        <v>46</v>
      </c>
      <c r="C42" s="10">
        <v>230.53</v>
      </c>
      <c r="D42" s="10">
        <v>0</v>
      </c>
      <c r="E42" s="10">
        <f t="shared" ref="E42:E49" si="9">+C42+D42</f>
        <v>230.53</v>
      </c>
      <c r="F42" s="10">
        <v>105.267</v>
      </c>
      <c r="G42" s="10">
        <v>105.267</v>
      </c>
      <c r="H42" s="10">
        <v>125.26300000000001</v>
      </c>
    </row>
    <row r="43" spans="1:10" x14ac:dyDescent="0.25">
      <c r="A43" s="15"/>
      <c r="B43" s="16" t="s">
        <v>47</v>
      </c>
      <c r="C43" s="10">
        <v>5517263.0769999996</v>
      </c>
      <c r="D43" s="10">
        <v>-40662.684740000012</v>
      </c>
      <c r="E43" s="10">
        <f t="shared" si="9"/>
        <v>5476600.3922599992</v>
      </c>
      <c r="F43" s="10">
        <v>5037986.6221799999</v>
      </c>
      <c r="G43" s="10">
        <v>5030985.1611800008</v>
      </c>
      <c r="H43" s="10">
        <v>438613.77008000086</v>
      </c>
    </row>
    <row r="44" spans="1:10" x14ac:dyDescent="0.25">
      <c r="A44" s="15"/>
      <c r="B44" s="16" t="s">
        <v>48</v>
      </c>
      <c r="C44" s="10">
        <f>2221215.436-363088.7</f>
        <v>1858126.7360000003</v>
      </c>
      <c r="D44" s="10">
        <v>536643.36200000008</v>
      </c>
      <c r="E44" s="10">
        <f t="shared" si="9"/>
        <v>2394770.0980000002</v>
      </c>
      <c r="F44" s="10">
        <f>2313697.2587-363088.7</f>
        <v>1950608.5587000002</v>
      </c>
      <c r="G44" s="10">
        <f>2266849.93529-363088.7</f>
        <v>1903761.23529</v>
      </c>
      <c r="H44" s="10">
        <f>+E44-F44</f>
        <v>444161.53930000006</v>
      </c>
    </row>
    <row r="45" spans="1:10" x14ac:dyDescent="0.25">
      <c r="A45" s="15"/>
      <c r="B45" s="16" t="s">
        <v>49</v>
      </c>
      <c r="C45" s="10">
        <v>30363.593000000001</v>
      </c>
      <c r="D45" s="10">
        <v>0</v>
      </c>
      <c r="E45" s="10">
        <f t="shared" si="9"/>
        <v>30363.593000000001</v>
      </c>
      <c r="F45" s="10">
        <v>21227.325100000005</v>
      </c>
      <c r="G45" s="10">
        <v>13790.584770000003</v>
      </c>
      <c r="H45" s="10">
        <v>9136.2678999999953</v>
      </c>
    </row>
    <row r="46" spans="1:10" x14ac:dyDescent="0.25">
      <c r="A46" s="15"/>
      <c r="B46" s="16" t="s">
        <v>50</v>
      </c>
      <c r="C46" s="10">
        <f>67918803.969-61185468.5+2030536.6+1982.5+105027.3-1058858.1</f>
        <v>7812023.7689999975</v>
      </c>
      <c r="D46" s="10">
        <v>-148428.68572999764</v>
      </c>
      <c r="E46" s="10">
        <f t="shared" si="9"/>
        <v>7663595.0832700003</v>
      </c>
      <c r="F46" s="10">
        <f>44765735.40753-33614954.4-1472563.4+105027.3</f>
        <v>9783244.9075300042</v>
      </c>
      <c r="G46" s="10">
        <f>44765735.40753-33614954.4-1472563.4+105027.3</f>
        <v>9783244.9075300042</v>
      </c>
      <c r="H46" s="10">
        <f>+E46-F46</f>
        <v>-2119649.8242600039</v>
      </c>
    </row>
    <row r="47" spans="1:10" x14ac:dyDescent="0.25">
      <c r="A47" s="15"/>
      <c r="B47" s="16" t="s">
        <v>51</v>
      </c>
      <c r="C47" s="19">
        <v>0</v>
      </c>
      <c r="D47" s="19">
        <v>0</v>
      </c>
      <c r="E47" s="10">
        <f t="shared" si="9"/>
        <v>0</v>
      </c>
      <c r="F47" s="19">
        <v>0</v>
      </c>
      <c r="G47" s="19">
        <v>0</v>
      </c>
      <c r="H47" s="10">
        <v>0</v>
      </c>
    </row>
    <row r="48" spans="1:10" x14ac:dyDescent="0.25">
      <c r="A48" s="15"/>
      <c r="B48" s="16" t="s">
        <v>52</v>
      </c>
      <c r="C48" s="19">
        <v>96174.548999999999</v>
      </c>
      <c r="D48" s="19">
        <v>113251.32648</v>
      </c>
      <c r="E48" s="10">
        <f t="shared" si="9"/>
        <v>209425.87547999999</v>
      </c>
      <c r="F48" s="19">
        <v>229579.59934000004</v>
      </c>
      <c r="G48" s="19">
        <v>219971.09934000004</v>
      </c>
      <c r="H48" s="10">
        <v>-20153.723860000013</v>
      </c>
    </row>
    <row r="49" spans="1:10" x14ac:dyDescent="0.25">
      <c r="A49" s="15"/>
      <c r="B49" s="16" t="s">
        <v>53</v>
      </c>
      <c r="C49" s="19">
        <v>0</v>
      </c>
      <c r="D49" s="19">
        <v>0</v>
      </c>
      <c r="E49" s="10">
        <f t="shared" si="9"/>
        <v>0</v>
      </c>
      <c r="F49" s="19">
        <v>2100.1972500000002</v>
      </c>
      <c r="G49" s="19">
        <v>2100.1972500000002</v>
      </c>
      <c r="H49" s="10">
        <v>-2100.1972500000002</v>
      </c>
    </row>
    <row r="50" spans="1:10" x14ac:dyDescent="0.25">
      <c r="A50" s="29" t="s">
        <v>54</v>
      </c>
      <c r="B50" s="30"/>
      <c r="C50" s="10">
        <f t="shared" ref="C50:H50" si="10">SUM(C51:C59)</f>
        <v>71415.347000000009</v>
      </c>
      <c r="D50" s="10">
        <f t="shared" si="10"/>
        <v>240275.99165000001</v>
      </c>
      <c r="E50" s="10">
        <f t="shared" si="10"/>
        <v>311691.33864999999</v>
      </c>
      <c r="F50" s="10">
        <f t="shared" si="10"/>
        <v>274510.43807999999</v>
      </c>
      <c r="G50" s="10">
        <f t="shared" si="10"/>
        <v>272876.42739999999</v>
      </c>
      <c r="H50" s="10">
        <f t="shared" si="10"/>
        <v>37180.900569999998</v>
      </c>
    </row>
    <row r="51" spans="1:10" x14ac:dyDescent="0.25">
      <c r="A51" s="15"/>
      <c r="B51" s="16" t="s">
        <v>55</v>
      </c>
      <c r="C51" s="10">
        <f>101481.523-30079.1</f>
        <v>71402.42300000001</v>
      </c>
      <c r="D51" s="10">
        <v>188742.23261000001</v>
      </c>
      <c r="E51" s="10">
        <f>+C51+D51</f>
        <v>260144.65561000002</v>
      </c>
      <c r="F51" s="10">
        <f>242256.35974-29000</f>
        <v>213256.35974000001</v>
      </c>
      <c r="G51" s="10">
        <f>241199.34905-29000</f>
        <v>212199.34904999999</v>
      </c>
      <c r="H51" s="10">
        <f>+E51-F51</f>
        <v>46888.295870000002</v>
      </c>
    </row>
    <row r="52" spans="1:10" x14ac:dyDescent="0.25">
      <c r="A52" s="15"/>
      <c r="B52" s="16" t="s">
        <v>56</v>
      </c>
      <c r="C52" s="10">
        <v>0</v>
      </c>
      <c r="D52" s="10">
        <v>276</v>
      </c>
      <c r="E52" s="10">
        <f t="shared" ref="E52:E59" si="11">+C52+D52</f>
        <v>276</v>
      </c>
      <c r="F52" s="10">
        <v>99.952390000000008</v>
      </c>
      <c r="G52" s="10">
        <v>99.952390000000008</v>
      </c>
      <c r="H52" s="10">
        <f t="shared" ref="H52:H59" si="12">+E52-F52</f>
        <v>176.04760999999999</v>
      </c>
    </row>
    <row r="53" spans="1:10" x14ac:dyDescent="0.25">
      <c r="A53" s="15"/>
      <c r="B53" s="16" t="s">
        <v>57</v>
      </c>
      <c r="C53" s="19">
        <v>0</v>
      </c>
      <c r="D53" s="19">
        <v>0</v>
      </c>
      <c r="E53" s="10">
        <f t="shared" si="11"/>
        <v>0</v>
      </c>
      <c r="F53" s="19">
        <v>0</v>
      </c>
      <c r="G53" s="19">
        <v>0</v>
      </c>
      <c r="H53" s="10">
        <f t="shared" si="12"/>
        <v>0</v>
      </c>
    </row>
    <row r="54" spans="1:10" x14ac:dyDescent="0.25">
      <c r="A54" s="15"/>
      <c r="B54" s="16" t="s">
        <v>58</v>
      </c>
      <c r="C54" s="10">
        <v>12.923999999999999</v>
      </c>
      <c r="D54" s="10">
        <v>6987.0620400000007</v>
      </c>
      <c r="E54" s="10">
        <f t="shared" si="11"/>
        <v>6999.9860400000007</v>
      </c>
      <c r="F54" s="10">
        <v>4944.2749899999999</v>
      </c>
      <c r="G54" s="10">
        <v>4367.2749999999996</v>
      </c>
      <c r="H54" s="10">
        <f t="shared" si="12"/>
        <v>2055.7110500000008</v>
      </c>
    </row>
    <row r="55" spans="1:10" x14ac:dyDescent="0.25">
      <c r="A55" s="15"/>
      <c r="B55" s="16" t="s">
        <v>59</v>
      </c>
      <c r="C55" s="10">
        <v>0</v>
      </c>
      <c r="D55" s="19">
        <v>0</v>
      </c>
      <c r="E55" s="10">
        <f t="shared" si="11"/>
        <v>0</v>
      </c>
      <c r="F55" s="10">
        <v>0</v>
      </c>
      <c r="G55" s="10">
        <v>0</v>
      </c>
      <c r="H55" s="10">
        <f t="shared" si="12"/>
        <v>0</v>
      </c>
    </row>
    <row r="56" spans="1:10" x14ac:dyDescent="0.25">
      <c r="A56" s="15"/>
      <c r="B56" s="16" t="s">
        <v>60</v>
      </c>
      <c r="C56" s="10">
        <v>0</v>
      </c>
      <c r="D56" s="10">
        <v>1639</v>
      </c>
      <c r="E56" s="10">
        <f t="shared" si="11"/>
        <v>1639</v>
      </c>
      <c r="F56" s="19">
        <v>398.33152000000001</v>
      </c>
      <c r="G56" s="19">
        <v>398.33152000000001</v>
      </c>
      <c r="H56" s="10">
        <f t="shared" si="12"/>
        <v>1240.66848</v>
      </c>
    </row>
    <row r="57" spans="1:10" x14ac:dyDescent="0.25">
      <c r="A57" s="15"/>
      <c r="B57" s="16" t="s">
        <v>61</v>
      </c>
      <c r="C57" s="10">
        <v>0</v>
      </c>
      <c r="D57" s="19">
        <v>0</v>
      </c>
      <c r="E57" s="10">
        <f t="shared" si="11"/>
        <v>0</v>
      </c>
      <c r="F57" s="19">
        <v>0</v>
      </c>
      <c r="G57" s="19">
        <v>0</v>
      </c>
      <c r="H57" s="10">
        <f t="shared" si="12"/>
        <v>0</v>
      </c>
    </row>
    <row r="58" spans="1:10" x14ac:dyDescent="0.25">
      <c r="A58" s="15"/>
      <c r="B58" s="16" t="s">
        <v>62</v>
      </c>
      <c r="C58" s="19">
        <v>0</v>
      </c>
      <c r="D58" s="10">
        <v>42432.2</v>
      </c>
      <c r="E58" s="10">
        <f t="shared" si="11"/>
        <v>42432.2</v>
      </c>
      <c r="F58" s="10">
        <v>42432.2</v>
      </c>
      <c r="G58" s="10">
        <v>42432.2</v>
      </c>
      <c r="H58" s="10">
        <f t="shared" si="12"/>
        <v>0</v>
      </c>
    </row>
    <row r="59" spans="1:10" x14ac:dyDescent="0.25">
      <c r="A59" s="15"/>
      <c r="B59" s="16" t="s">
        <v>63</v>
      </c>
      <c r="C59" s="19">
        <v>0</v>
      </c>
      <c r="D59" s="10">
        <v>199.49700000000001</v>
      </c>
      <c r="E59" s="10">
        <f t="shared" si="11"/>
        <v>199.49700000000001</v>
      </c>
      <c r="F59" s="10">
        <v>13379.319440000001</v>
      </c>
      <c r="G59" s="10">
        <v>13379.319440000001</v>
      </c>
      <c r="H59" s="10">
        <f t="shared" si="12"/>
        <v>-13179.822440000002</v>
      </c>
    </row>
    <row r="60" spans="1:10" x14ac:dyDescent="0.25">
      <c r="A60" s="29" t="s">
        <v>64</v>
      </c>
      <c r="B60" s="30"/>
      <c r="C60" s="10">
        <f t="shared" ref="C60:H60" si="13">SUM(C61:C63)</f>
        <v>22108380.408999998</v>
      </c>
      <c r="D60" s="10">
        <f t="shared" si="13"/>
        <v>0</v>
      </c>
      <c r="E60" s="10">
        <f t="shared" si="13"/>
        <v>22108380.408999998</v>
      </c>
      <c r="F60" s="10">
        <f t="shared" si="13"/>
        <v>25602518.12937</v>
      </c>
      <c r="G60" s="10">
        <f t="shared" si="13"/>
        <v>23673133.346419998</v>
      </c>
      <c r="H60" s="10">
        <f t="shared" si="13"/>
        <v>-3494137.720370003</v>
      </c>
      <c r="J60" s="14"/>
    </row>
    <row r="61" spans="1:10" x14ac:dyDescent="0.25">
      <c r="A61" s="15"/>
      <c r="B61" s="16" t="s">
        <v>65</v>
      </c>
      <c r="C61" s="10">
        <f>24137295.981-5235447.1</f>
        <v>18901848.880999997</v>
      </c>
      <c r="D61" s="10">
        <v>0</v>
      </c>
      <c r="E61" s="10">
        <f>+C61+D61</f>
        <v>18901848.880999997</v>
      </c>
      <c r="F61" s="10">
        <f>26986043.67141-5130419.8-105027.3</f>
        <v>21750596.57141</v>
      </c>
      <c r="G61" s="10">
        <f>25829470.36174-5130419.8-105027.3</f>
        <v>20594023.261739999</v>
      </c>
      <c r="H61" s="10">
        <f t="shared" ref="H61:H63" si="14">+E61-F61</f>
        <v>-2848747.6904100031</v>
      </c>
    </row>
    <row r="62" spans="1:10" x14ac:dyDescent="0.25">
      <c r="A62" s="15"/>
      <c r="B62" s="16" t="s">
        <v>66</v>
      </c>
      <c r="C62" s="10">
        <f>859941.746-510200.6</f>
        <v>349741.14600000007</v>
      </c>
      <c r="D62" s="10">
        <v>0</v>
      </c>
      <c r="E62" s="10">
        <f t="shared" ref="E62:E63" si="15">+C62+D62</f>
        <v>349741.14600000007</v>
      </c>
      <c r="F62" s="10">
        <f>1114999.72913-510200.6</f>
        <v>604799.12913000013</v>
      </c>
      <c r="G62" s="10">
        <f>1043161.85804-510200.6</f>
        <v>532961.25803999999</v>
      </c>
      <c r="H62" s="10">
        <f t="shared" si="14"/>
        <v>-255057.98313000007</v>
      </c>
    </row>
    <row r="63" spans="1:10" x14ac:dyDescent="0.25">
      <c r="A63" s="15"/>
      <c r="B63" s="16" t="s">
        <v>67</v>
      </c>
      <c r="C63" s="10">
        <f>2870835.782-14045.4</f>
        <v>2856790.3820000002</v>
      </c>
      <c r="D63" s="10">
        <v>0</v>
      </c>
      <c r="E63" s="10">
        <f t="shared" si="15"/>
        <v>2856790.3820000002</v>
      </c>
      <c r="F63" s="10">
        <f>3261167.82883-14045.4</f>
        <v>3247122.4288300001</v>
      </c>
      <c r="G63" s="10">
        <f>2560194.22664-14045.4</f>
        <v>2546148.8266400001</v>
      </c>
      <c r="H63" s="10">
        <f t="shared" si="14"/>
        <v>-390332.04682999989</v>
      </c>
    </row>
    <row r="64" spans="1:10" x14ac:dyDescent="0.25">
      <c r="A64" s="29" t="s">
        <v>68</v>
      </c>
      <c r="B64" s="30"/>
      <c r="C64" s="10">
        <f t="shared" ref="C64:H64" si="16">SUM(C65:C72)</f>
        <v>1434450.642</v>
      </c>
      <c r="D64" s="10">
        <f t="shared" si="16"/>
        <v>-109264.383</v>
      </c>
      <c r="E64" s="10">
        <f t="shared" si="16"/>
        <v>1325186.2590000001</v>
      </c>
      <c r="F64" s="10">
        <f t="shared" si="16"/>
        <v>2864754.7629800006</v>
      </c>
      <c r="G64" s="10">
        <f t="shared" si="16"/>
        <v>2864754.7629800006</v>
      </c>
      <c r="H64" s="10">
        <f t="shared" si="16"/>
        <v>-1539568.5039800005</v>
      </c>
    </row>
    <row r="65" spans="1:10" x14ac:dyDescent="0.25">
      <c r="A65" s="15"/>
      <c r="B65" s="16" t="s">
        <v>69</v>
      </c>
      <c r="C65" s="19">
        <v>0</v>
      </c>
      <c r="D65" s="10">
        <v>0</v>
      </c>
      <c r="E65" s="10">
        <f t="shared" ref="E65:E72" si="17">+C65+D65</f>
        <v>0</v>
      </c>
      <c r="F65" s="19">
        <v>0</v>
      </c>
      <c r="G65" s="19">
        <v>0</v>
      </c>
      <c r="H65" s="10">
        <f t="shared" ref="H65:H72" si="18">+E65-F65</f>
        <v>0</v>
      </c>
    </row>
    <row r="66" spans="1:10" x14ac:dyDescent="0.25">
      <c r="A66" s="15"/>
      <c r="B66" s="16" t="s">
        <v>70</v>
      </c>
      <c r="C66" s="19">
        <v>0</v>
      </c>
      <c r="D66" s="10">
        <v>0</v>
      </c>
      <c r="E66" s="10">
        <f t="shared" si="17"/>
        <v>0</v>
      </c>
      <c r="F66" s="19">
        <v>0</v>
      </c>
      <c r="G66" s="19">
        <v>0</v>
      </c>
      <c r="H66" s="10">
        <f t="shared" si="18"/>
        <v>0</v>
      </c>
    </row>
    <row r="67" spans="1:10" x14ac:dyDescent="0.25">
      <c r="A67" s="15"/>
      <c r="B67" s="16" t="s">
        <v>71</v>
      </c>
      <c r="C67" s="19">
        <v>0</v>
      </c>
      <c r="D67" s="10">
        <v>0</v>
      </c>
      <c r="E67" s="10">
        <f t="shared" si="17"/>
        <v>0</v>
      </c>
      <c r="F67" s="19">
        <v>0</v>
      </c>
      <c r="G67" s="19">
        <v>0</v>
      </c>
      <c r="H67" s="10">
        <f t="shared" si="18"/>
        <v>0</v>
      </c>
    </row>
    <row r="68" spans="1:10" x14ac:dyDescent="0.25">
      <c r="A68" s="15"/>
      <c r="B68" s="16" t="s">
        <v>72</v>
      </c>
      <c r="C68" s="19">
        <v>0</v>
      </c>
      <c r="D68" s="10">
        <v>0</v>
      </c>
      <c r="E68" s="10">
        <f t="shared" si="17"/>
        <v>0</v>
      </c>
      <c r="F68" s="19">
        <v>0</v>
      </c>
      <c r="G68" s="19">
        <v>0</v>
      </c>
      <c r="H68" s="10">
        <f t="shared" si="18"/>
        <v>0</v>
      </c>
    </row>
    <row r="69" spans="1:10" x14ac:dyDescent="0.25">
      <c r="A69" s="15"/>
      <c r="B69" s="16" t="s">
        <v>73</v>
      </c>
      <c r="C69" s="10">
        <v>1434450.642</v>
      </c>
      <c r="D69" s="10">
        <v>-109264.383</v>
      </c>
      <c r="E69" s="10">
        <f>+C69+D69</f>
        <v>1325186.2590000001</v>
      </c>
      <c r="F69" s="10">
        <v>2864754.7629800006</v>
      </c>
      <c r="G69" s="10">
        <v>2864754.7629800006</v>
      </c>
      <c r="H69" s="10">
        <f t="shared" si="18"/>
        <v>-1539568.5039800005</v>
      </c>
    </row>
    <row r="70" spans="1:10" x14ac:dyDescent="0.25">
      <c r="A70" s="15"/>
      <c r="B70" s="16" t="s">
        <v>74</v>
      </c>
      <c r="C70" s="19">
        <v>0</v>
      </c>
      <c r="D70" s="10">
        <v>0</v>
      </c>
      <c r="E70" s="10">
        <f t="shared" si="17"/>
        <v>0</v>
      </c>
      <c r="F70" s="19">
        <v>0</v>
      </c>
      <c r="G70" s="19">
        <v>0</v>
      </c>
      <c r="H70" s="10">
        <f t="shared" si="18"/>
        <v>0</v>
      </c>
    </row>
    <row r="71" spans="1:10" x14ac:dyDescent="0.25">
      <c r="A71" s="15"/>
      <c r="B71" s="16" t="s">
        <v>75</v>
      </c>
      <c r="C71" s="19">
        <v>0</v>
      </c>
      <c r="D71" s="10">
        <v>0</v>
      </c>
      <c r="E71" s="10">
        <f t="shared" si="17"/>
        <v>0</v>
      </c>
      <c r="F71" s="19">
        <v>0</v>
      </c>
      <c r="G71" s="19">
        <v>0</v>
      </c>
      <c r="H71" s="10">
        <f t="shared" si="18"/>
        <v>0</v>
      </c>
    </row>
    <row r="72" spans="1:10" x14ac:dyDescent="0.25">
      <c r="A72" s="15"/>
      <c r="B72" s="16" t="s">
        <v>76</v>
      </c>
      <c r="C72" s="19">
        <v>0</v>
      </c>
      <c r="D72" s="10">
        <v>0</v>
      </c>
      <c r="E72" s="10">
        <f t="shared" si="17"/>
        <v>0</v>
      </c>
      <c r="F72" s="19">
        <v>0</v>
      </c>
      <c r="G72" s="19">
        <v>0</v>
      </c>
      <c r="H72" s="10">
        <f t="shared" si="18"/>
        <v>0</v>
      </c>
    </row>
    <row r="73" spans="1:10" x14ac:dyDescent="0.25">
      <c r="A73" s="29" t="s">
        <v>77</v>
      </c>
      <c r="B73" s="30"/>
      <c r="C73" s="10">
        <f t="shared" ref="C73:H73" si="19">SUM(C74:C76)</f>
        <v>22718214.009000003</v>
      </c>
      <c r="D73" s="10">
        <f t="shared" si="19"/>
        <v>0</v>
      </c>
      <c r="E73" s="10">
        <f t="shared" si="19"/>
        <v>22718214.009000003</v>
      </c>
      <c r="F73" s="10">
        <f t="shared" si="19"/>
        <v>18874954.89474</v>
      </c>
      <c r="G73" s="10">
        <f t="shared" si="19"/>
        <v>18870475.084040001</v>
      </c>
      <c r="H73" s="10">
        <f t="shared" si="19"/>
        <v>3843259.1142600011</v>
      </c>
      <c r="J73" s="14"/>
    </row>
    <row r="74" spans="1:10" x14ac:dyDescent="0.25">
      <c r="A74" s="15"/>
      <c r="B74" s="16" t="s">
        <v>78</v>
      </c>
      <c r="C74" s="10">
        <f>22457020.463-655574.9-1982.5</f>
        <v>21799463.063000001</v>
      </c>
      <c r="D74" s="10">
        <v>0</v>
      </c>
      <c r="E74" s="10">
        <f>+C74+D74</f>
        <v>21799463.063000001</v>
      </c>
      <c r="F74" s="10">
        <f>18868492.45881+1982.5</f>
        <v>18870474.958810002</v>
      </c>
      <c r="G74" s="10">
        <v>18870475</v>
      </c>
      <c r="H74" s="10">
        <f t="shared" ref="H74:H76" si="20">+E74-F74</f>
        <v>2928988.1041899994</v>
      </c>
    </row>
    <row r="75" spans="1:10" x14ac:dyDescent="0.25">
      <c r="A75" s="15"/>
      <c r="B75" s="16" t="s">
        <v>79</v>
      </c>
      <c r="C75" s="10">
        <f>13485089.346-12566338.4</f>
        <v>918750.94600000046</v>
      </c>
      <c r="D75" s="10">
        <v>0</v>
      </c>
      <c r="E75" s="10">
        <f t="shared" ref="E75:E76" si="21">+C75+D75</f>
        <v>918750.94600000046</v>
      </c>
      <c r="F75" s="10">
        <f>10714104.83593-10709624.9</f>
        <v>4479.9359299987555</v>
      </c>
      <c r="G75" s="10">
        <f>10709624.98404-10709624.9</f>
        <v>8.4039999172091484E-2</v>
      </c>
      <c r="H75" s="10">
        <f t="shared" si="20"/>
        <v>914271.01007000171</v>
      </c>
    </row>
    <row r="76" spans="1:10" x14ac:dyDescent="0.25">
      <c r="A76" s="15"/>
      <c r="B76" s="16" t="s">
        <v>80</v>
      </c>
      <c r="C76" s="10">
        <v>0</v>
      </c>
      <c r="D76" s="10">
        <v>0</v>
      </c>
      <c r="E76" s="10">
        <f t="shared" si="21"/>
        <v>0</v>
      </c>
      <c r="F76" s="10">
        <v>0</v>
      </c>
      <c r="G76" s="10">
        <v>0</v>
      </c>
      <c r="H76" s="10">
        <f t="shared" si="20"/>
        <v>0</v>
      </c>
    </row>
    <row r="77" spans="1:10" x14ac:dyDescent="0.25">
      <c r="A77" s="29" t="s">
        <v>81</v>
      </c>
      <c r="B77" s="30"/>
      <c r="C77" s="10">
        <f t="shared" ref="C77:H77" si="22">SUM(C78:C84)</f>
        <v>5386248.5</v>
      </c>
      <c r="D77" s="10">
        <f t="shared" si="22"/>
        <v>0</v>
      </c>
      <c r="E77" s="10">
        <f t="shared" si="22"/>
        <v>5386248.5</v>
      </c>
      <c r="F77" s="10">
        <f t="shared" si="22"/>
        <v>2544890.5485999999</v>
      </c>
      <c r="G77" s="10">
        <f t="shared" si="22"/>
        <v>2544890.5485999999</v>
      </c>
      <c r="H77" s="10">
        <f t="shared" si="22"/>
        <v>2841357.9514000001</v>
      </c>
    </row>
    <row r="78" spans="1:10" x14ac:dyDescent="0.25">
      <c r="A78" s="15"/>
      <c r="B78" s="16" t="s">
        <v>82</v>
      </c>
      <c r="C78" s="10">
        <v>2714359</v>
      </c>
      <c r="D78" s="10">
        <v>0</v>
      </c>
      <c r="E78" s="10">
        <f>+C78+D78</f>
        <v>2714359</v>
      </c>
      <c r="F78" s="10">
        <f>733709.5425-683641</f>
        <v>50068.542499999981</v>
      </c>
      <c r="G78" s="10">
        <f>733709.5425-683641</f>
        <v>50068.542499999981</v>
      </c>
      <c r="H78" s="10">
        <f t="shared" ref="H78:H84" si="23">+E78-F78</f>
        <v>2664290.4575</v>
      </c>
    </row>
    <row r="79" spans="1:10" x14ac:dyDescent="0.25">
      <c r="A79" s="15"/>
      <c r="B79" s="16" t="s">
        <v>83</v>
      </c>
      <c r="C79" s="10">
        <f>3914000-3702810.5</f>
        <v>211189.5</v>
      </c>
      <c r="D79" s="10">
        <v>0</v>
      </c>
      <c r="E79" s="10">
        <f t="shared" ref="E79:E84" si="24">+C79+D79</f>
        <v>211189.5</v>
      </c>
      <c r="F79" s="10">
        <f>2236345.45956-2225151</f>
        <v>11194.459559999872</v>
      </c>
      <c r="G79" s="10">
        <f>2236345.45956-2225151</f>
        <v>11194.459559999872</v>
      </c>
      <c r="H79" s="10">
        <f t="shared" si="23"/>
        <v>199995.04044000013</v>
      </c>
    </row>
    <row r="80" spans="1:10" x14ac:dyDescent="0.25">
      <c r="A80" s="15"/>
      <c r="B80" s="16" t="s">
        <v>84</v>
      </c>
      <c r="C80" s="10">
        <v>0</v>
      </c>
      <c r="D80" s="10">
        <v>0</v>
      </c>
      <c r="E80" s="10">
        <f t="shared" si="24"/>
        <v>0</v>
      </c>
      <c r="F80" s="10">
        <v>9618.6583499999997</v>
      </c>
      <c r="G80" s="10">
        <v>9618.6583499999997</v>
      </c>
      <c r="H80" s="10">
        <f t="shared" si="23"/>
        <v>-9618.6583499999997</v>
      </c>
    </row>
    <row r="81" spans="1:11" x14ac:dyDescent="0.25">
      <c r="A81" s="15"/>
      <c r="B81" s="16" t="s">
        <v>85</v>
      </c>
      <c r="C81" s="10">
        <v>0</v>
      </c>
      <c r="D81" s="10">
        <v>0</v>
      </c>
      <c r="E81" s="10">
        <f t="shared" si="24"/>
        <v>0</v>
      </c>
      <c r="F81" s="10">
        <v>27303.27677</v>
      </c>
      <c r="G81" s="10">
        <v>27303.27677</v>
      </c>
      <c r="H81" s="10">
        <f t="shared" si="23"/>
        <v>-27303.27677</v>
      </c>
    </row>
    <row r="82" spans="1:11" x14ac:dyDescent="0.25">
      <c r="A82" s="15"/>
      <c r="B82" s="16" t="s">
        <v>86</v>
      </c>
      <c r="C82" s="10">
        <v>0</v>
      </c>
      <c r="D82" s="10">
        <v>0</v>
      </c>
      <c r="E82" s="10">
        <f t="shared" si="24"/>
        <v>0</v>
      </c>
      <c r="F82" s="10">
        <v>0</v>
      </c>
      <c r="G82" s="10">
        <v>0</v>
      </c>
      <c r="H82" s="10">
        <f t="shared" si="23"/>
        <v>0</v>
      </c>
    </row>
    <row r="83" spans="1:11" x14ac:dyDescent="0.25">
      <c r="A83" s="15"/>
      <c r="B83" s="16" t="s">
        <v>87</v>
      </c>
      <c r="C83" s="19">
        <v>0</v>
      </c>
      <c r="D83" s="10">
        <v>0</v>
      </c>
      <c r="E83" s="10">
        <f t="shared" si="24"/>
        <v>0</v>
      </c>
      <c r="F83" s="19">
        <v>0</v>
      </c>
      <c r="G83" s="19">
        <v>0</v>
      </c>
      <c r="H83" s="10">
        <f t="shared" si="23"/>
        <v>0</v>
      </c>
    </row>
    <row r="84" spans="1:11" x14ac:dyDescent="0.25">
      <c r="A84" s="15"/>
      <c r="B84" s="16" t="s">
        <v>88</v>
      </c>
      <c r="C84" s="10">
        <v>2460700</v>
      </c>
      <c r="D84" s="10">
        <v>0</v>
      </c>
      <c r="E84" s="10">
        <f t="shared" si="24"/>
        <v>2460700</v>
      </c>
      <c r="F84" s="10">
        <v>2446705.61142</v>
      </c>
      <c r="G84" s="10">
        <v>2446705.61142</v>
      </c>
      <c r="H84" s="10">
        <f t="shared" si="23"/>
        <v>13994.388580000028</v>
      </c>
    </row>
    <row r="85" spans="1:11" x14ac:dyDescent="0.25">
      <c r="A85" s="2"/>
      <c r="B85" s="3"/>
      <c r="C85" s="11"/>
      <c r="D85" s="11"/>
      <c r="E85" s="11"/>
      <c r="F85" s="11"/>
      <c r="G85" s="11"/>
      <c r="H85" s="11"/>
    </row>
    <row r="86" spans="1:11" x14ac:dyDescent="0.25">
      <c r="A86" s="5"/>
      <c r="B86" s="5"/>
      <c r="C86" s="8"/>
      <c r="D86" s="8"/>
      <c r="E86" s="8"/>
      <c r="F86" s="8"/>
      <c r="G86" s="8"/>
      <c r="H86" s="8"/>
    </row>
    <row r="87" spans="1:11" x14ac:dyDescent="0.25">
      <c r="A87" s="6"/>
      <c r="B87" s="7"/>
      <c r="C87" s="9"/>
      <c r="D87" s="9"/>
      <c r="E87" s="9"/>
      <c r="F87" s="9"/>
      <c r="G87" s="9"/>
      <c r="H87" s="9"/>
    </row>
    <row r="88" spans="1:11" x14ac:dyDescent="0.25">
      <c r="A88" s="27" t="s">
        <v>89</v>
      </c>
      <c r="B88" s="28"/>
      <c r="C88" s="12">
        <f>+C89+C97+C107+C117+C127+C137+C141+C150+C154</f>
        <v>90988993.799999982</v>
      </c>
      <c r="D88" s="12">
        <f t="shared" ref="D88:H88" si="25">+D89+D97+D107+D117+D127+D137+D141+D150+D154</f>
        <v>0</v>
      </c>
      <c r="E88" s="12">
        <f t="shared" si="25"/>
        <v>90988993.799999982</v>
      </c>
      <c r="F88" s="12">
        <f t="shared" si="25"/>
        <v>62144932.400000006</v>
      </c>
      <c r="G88" s="12">
        <f>+G89+G97+G107+G117+G127+G137+G141+G150+G154</f>
        <v>62144932.400000006</v>
      </c>
      <c r="H88" s="12">
        <f t="shared" si="25"/>
        <v>28844061.399999999</v>
      </c>
      <c r="J88" s="14"/>
      <c r="K88" s="14"/>
    </row>
    <row r="89" spans="1:11" x14ac:dyDescent="0.25">
      <c r="A89" s="29" t="s">
        <v>15</v>
      </c>
      <c r="B89" s="30"/>
      <c r="C89" s="10">
        <f>SUM(C90:C96)</f>
        <v>7071778</v>
      </c>
      <c r="D89" s="10">
        <f t="shared" ref="D89:H89" si="26">SUM(D90:D96)</f>
        <v>0</v>
      </c>
      <c r="E89" s="10">
        <f t="shared" si="26"/>
        <v>7071778</v>
      </c>
      <c r="F89" s="10">
        <f t="shared" si="26"/>
        <v>6452717.7000000002</v>
      </c>
      <c r="G89" s="10">
        <f t="shared" si="26"/>
        <v>6452717.7000000002</v>
      </c>
      <c r="H89" s="10">
        <f t="shared" si="26"/>
        <v>619060.29999999981</v>
      </c>
      <c r="J89" s="24"/>
    </row>
    <row r="90" spans="1:11" x14ac:dyDescent="0.25">
      <c r="A90" s="15"/>
      <c r="B90" s="16" t="s">
        <v>16</v>
      </c>
      <c r="C90" s="10">
        <v>7071778</v>
      </c>
      <c r="D90" s="10">
        <v>0</v>
      </c>
      <c r="E90" s="10">
        <f>+C90+D90</f>
        <v>7071778</v>
      </c>
      <c r="F90" s="10">
        <f>3638977.6+940740.1+1873000</f>
        <v>6452717.7000000002</v>
      </c>
      <c r="G90" s="10">
        <v>6452717.7000000002</v>
      </c>
      <c r="H90" s="10">
        <f>+E90-F90</f>
        <v>619060.29999999981</v>
      </c>
      <c r="J90" s="24"/>
    </row>
    <row r="91" spans="1:11" x14ac:dyDescent="0.25">
      <c r="A91" s="15"/>
      <c r="B91" s="16" t="s">
        <v>17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f t="shared" ref="H91:H96" si="27">+E91-F91</f>
        <v>0</v>
      </c>
      <c r="J91" s="24"/>
    </row>
    <row r="92" spans="1:11" x14ac:dyDescent="0.25">
      <c r="A92" s="15"/>
      <c r="B92" s="16" t="s">
        <v>18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f t="shared" si="27"/>
        <v>0</v>
      </c>
      <c r="J92" s="25"/>
    </row>
    <row r="93" spans="1:11" x14ac:dyDescent="0.25">
      <c r="A93" s="15"/>
      <c r="B93" s="16" t="s">
        <v>19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f t="shared" si="27"/>
        <v>0</v>
      </c>
      <c r="J93" s="24"/>
    </row>
    <row r="94" spans="1:11" x14ac:dyDescent="0.25">
      <c r="A94" s="15"/>
      <c r="B94" s="16" t="s">
        <v>20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f t="shared" si="27"/>
        <v>0</v>
      </c>
      <c r="J94" s="26"/>
    </row>
    <row r="95" spans="1:11" x14ac:dyDescent="0.25">
      <c r="A95" s="15"/>
      <c r="B95" s="16" t="s">
        <v>21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f t="shared" si="27"/>
        <v>0</v>
      </c>
    </row>
    <row r="96" spans="1:11" x14ac:dyDescent="0.25">
      <c r="A96" s="15"/>
      <c r="B96" s="16" t="s">
        <v>22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f t="shared" si="27"/>
        <v>0</v>
      </c>
    </row>
    <row r="97" spans="1:8" x14ac:dyDescent="0.25">
      <c r="A97" s="29" t="s">
        <v>24</v>
      </c>
      <c r="B97" s="30"/>
      <c r="C97" s="10">
        <f>SUM(C98:C106)</f>
        <v>14588.9</v>
      </c>
      <c r="D97" s="10">
        <f t="shared" ref="D97:G97" si="28">SUM(D98:D106)</f>
        <v>0</v>
      </c>
      <c r="E97" s="10">
        <f t="shared" si="28"/>
        <v>14588.9</v>
      </c>
      <c r="F97" s="10">
        <f t="shared" si="28"/>
        <v>14588.900000000001</v>
      </c>
      <c r="G97" s="10">
        <f t="shared" si="28"/>
        <v>14588.900000000001</v>
      </c>
      <c r="H97" s="10">
        <f>SUM(H98:H106)</f>
        <v>0</v>
      </c>
    </row>
    <row r="98" spans="1:8" x14ac:dyDescent="0.25">
      <c r="A98" s="15"/>
      <c r="B98" s="16" t="s">
        <v>25</v>
      </c>
      <c r="C98" s="10">
        <f>12593.6-11384.4</f>
        <v>1209.2000000000007</v>
      </c>
      <c r="D98" s="10">
        <v>0</v>
      </c>
      <c r="E98" s="10">
        <f>+C98+D98</f>
        <v>1209.2000000000007</v>
      </c>
      <c r="F98" s="10">
        <v>1209.2</v>
      </c>
      <c r="G98" s="10">
        <v>1209.2</v>
      </c>
      <c r="H98" s="10">
        <f t="shared" ref="H98:H106" si="29">+E98-F98</f>
        <v>0</v>
      </c>
    </row>
    <row r="99" spans="1:8" x14ac:dyDescent="0.25">
      <c r="A99" s="15"/>
      <c r="B99" s="16" t="s">
        <v>26</v>
      </c>
      <c r="C99" s="10">
        <f>11384.4+1970.3</f>
        <v>13354.699999999999</v>
      </c>
      <c r="D99" s="10">
        <v>0</v>
      </c>
      <c r="E99" s="10">
        <f>+C99+D99</f>
        <v>13354.699999999999</v>
      </c>
      <c r="F99" s="10">
        <v>13354.7</v>
      </c>
      <c r="G99" s="10">
        <v>13354.7</v>
      </c>
      <c r="H99" s="10">
        <f t="shared" si="29"/>
        <v>0</v>
      </c>
    </row>
    <row r="100" spans="1:8" x14ac:dyDescent="0.25">
      <c r="A100" s="15"/>
      <c r="B100" s="16" t="s">
        <v>27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f t="shared" si="29"/>
        <v>0</v>
      </c>
    </row>
    <row r="101" spans="1:8" x14ac:dyDescent="0.25">
      <c r="A101" s="15"/>
      <c r="B101" s="16" t="s">
        <v>28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f t="shared" si="29"/>
        <v>0</v>
      </c>
    </row>
    <row r="102" spans="1:8" x14ac:dyDescent="0.25">
      <c r="A102" s="15"/>
      <c r="B102" s="16" t="s">
        <v>29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f t="shared" si="29"/>
        <v>0</v>
      </c>
    </row>
    <row r="103" spans="1:8" x14ac:dyDescent="0.25">
      <c r="A103" s="15"/>
      <c r="B103" s="16" t="s">
        <v>30</v>
      </c>
      <c r="C103" s="10">
        <v>0</v>
      </c>
      <c r="D103" s="10">
        <v>0</v>
      </c>
      <c r="E103" s="10">
        <f>+C103+D103</f>
        <v>0</v>
      </c>
      <c r="F103" s="10">
        <v>0</v>
      </c>
      <c r="G103" s="10">
        <v>0</v>
      </c>
      <c r="H103" s="10">
        <f t="shared" si="29"/>
        <v>0</v>
      </c>
    </row>
    <row r="104" spans="1:8" x14ac:dyDescent="0.25">
      <c r="A104" s="15"/>
      <c r="B104" s="16" t="s">
        <v>31</v>
      </c>
      <c r="C104" s="10">
        <v>25</v>
      </c>
      <c r="D104" s="10">
        <v>0</v>
      </c>
      <c r="E104" s="10">
        <f>+C104+D104</f>
        <v>25</v>
      </c>
      <c r="F104" s="10">
        <v>25</v>
      </c>
      <c r="G104" s="10">
        <v>25</v>
      </c>
      <c r="H104" s="10">
        <f t="shared" si="29"/>
        <v>0</v>
      </c>
    </row>
    <row r="105" spans="1:8" x14ac:dyDescent="0.25">
      <c r="A105" s="15"/>
      <c r="B105" s="16" t="s">
        <v>32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f t="shared" si="29"/>
        <v>0</v>
      </c>
    </row>
    <row r="106" spans="1:8" x14ac:dyDescent="0.25">
      <c r="A106" s="15"/>
      <c r="B106" s="16" t="s">
        <v>33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f t="shared" si="29"/>
        <v>0</v>
      </c>
    </row>
    <row r="107" spans="1:8" x14ac:dyDescent="0.25">
      <c r="A107" s="29" t="s">
        <v>34</v>
      </c>
      <c r="B107" s="30"/>
      <c r="C107" s="10">
        <f>SUM(C108:C116)</f>
        <v>32638.5</v>
      </c>
      <c r="D107" s="10">
        <f t="shared" ref="D107:H107" si="30">SUM(D108:D116)</f>
        <v>0</v>
      </c>
      <c r="E107" s="10">
        <f t="shared" si="30"/>
        <v>32638.5</v>
      </c>
      <c r="F107" s="10">
        <f t="shared" si="30"/>
        <v>32638.5</v>
      </c>
      <c r="G107" s="10">
        <f t="shared" si="30"/>
        <v>32638.5</v>
      </c>
      <c r="H107" s="10">
        <f t="shared" si="30"/>
        <v>0</v>
      </c>
    </row>
    <row r="108" spans="1:8" x14ac:dyDescent="0.25">
      <c r="A108" s="15"/>
      <c r="B108" s="16" t="s">
        <v>35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f t="shared" ref="H108:H116" si="31">+E108-F108</f>
        <v>0</v>
      </c>
    </row>
    <row r="109" spans="1:8" x14ac:dyDescent="0.25">
      <c r="A109" s="15"/>
      <c r="B109" s="16" t="s">
        <v>36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f t="shared" si="31"/>
        <v>0</v>
      </c>
    </row>
    <row r="110" spans="1:8" x14ac:dyDescent="0.25">
      <c r="A110" s="15"/>
      <c r="B110" s="16" t="s">
        <v>37</v>
      </c>
      <c r="C110" s="10">
        <v>827.1</v>
      </c>
      <c r="D110" s="10">
        <v>0</v>
      </c>
      <c r="E110" s="10">
        <f>+C110+D110</f>
        <v>827.1</v>
      </c>
      <c r="F110" s="10">
        <v>827.1</v>
      </c>
      <c r="G110" s="10">
        <v>827.1</v>
      </c>
      <c r="H110" s="10">
        <f t="shared" si="31"/>
        <v>0</v>
      </c>
    </row>
    <row r="111" spans="1:8" x14ac:dyDescent="0.25">
      <c r="A111" s="15"/>
      <c r="B111" s="16" t="s">
        <v>38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f t="shared" si="31"/>
        <v>0</v>
      </c>
    </row>
    <row r="112" spans="1:8" x14ac:dyDescent="0.25">
      <c r="A112" s="15"/>
      <c r="B112" s="16" t="s">
        <v>39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f t="shared" si="31"/>
        <v>0</v>
      </c>
    </row>
    <row r="113" spans="1:11" x14ac:dyDescent="0.25">
      <c r="A113" s="15"/>
      <c r="B113" s="16" t="s">
        <v>40</v>
      </c>
      <c r="C113" s="10">
        <v>0</v>
      </c>
      <c r="D113" s="10">
        <v>0</v>
      </c>
      <c r="E113" s="10">
        <f>+C113+D113</f>
        <v>0</v>
      </c>
      <c r="F113" s="10">
        <v>0</v>
      </c>
      <c r="G113" s="10">
        <v>0</v>
      </c>
      <c r="H113" s="10">
        <f t="shared" si="31"/>
        <v>0</v>
      </c>
    </row>
    <row r="114" spans="1:11" x14ac:dyDescent="0.25">
      <c r="A114" s="15"/>
      <c r="B114" s="16" t="s">
        <v>41</v>
      </c>
      <c r="C114" s="10">
        <v>1204.0999999999999</v>
      </c>
      <c r="D114" s="10">
        <v>0</v>
      </c>
      <c r="E114" s="10">
        <f>+C114+D114</f>
        <v>1204.0999999999999</v>
      </c>
      <c r="F114" s="10">
        <v>1204.0999999999999</v>
      </c>
      <c r="G114" s="10">
        <v>1204.0999999999999</v>
      </c>
      <c r="H114" s="10">
        <f t="shared" si="31"/>
        <v>0</v>
      </c>
    </row>
    <row r="115" spans="1:11" x14ac:dyDescent="0.25">
      <c r="A115" s="15"/>
      <c r="B115" s="16" t="s">
        <v>42</v>
      </c>
      <c r="C115" s="10">
        <v>30565.3</v>
      </c>
      <c r="D115" s="10">
        <v>0</v>
      </c>
      <c r="E115" s="10">
        <f>+C115+D115</f>
        <v>30565.3</v>
      </c>
      <c r="F115" s="10">
        <f>7280.3+23285</f>
        <v>30565.3</v>
      </c>
      <c r="G115" s="10">
        <f>7280.3+23285</f>
        <v>30565.3</v>
      </c>
      <c r="H115" s="10">
        <f t="shared" si="31"/>
        <v>0</v>
      </c>
    </row>
    <row r="116" spans="1:11" x14ac:dyDescent="0.25">
      <c r="A116" s="15"/>
      <c r="B116" s="16" t="s">
        <v>43</v>
      </c>
      <c r="C116" s="10">
        <v>42</v>
      </c>
      <c r="D116" s="10">
        <v>0</v>
      </c>
      <c r="E116" s="10">
        <f>+C116+D116</f>
        <v>42</v>
      </c>
      <c r="F116" s="10">
        <v>42</v>
      </c>
      <c r="G116" s="10">
        <v>42</v>
      </c>
      <c r="H116" s="10">
        <f t="shared" si="31"/>
        <v>0</v>
      </c>
    </row>
    <row r="117" spans="1:11" x14ac:dyDescent="0.25">
      <c r="A117" s="29" t="s">
        <v>44</v>
      </c>
      <c r="B117" s="30"/>
      <c r="C117" s="10">
        <f>SUM(C118:C124)</f>
        <v>60469868.899999999</v>
      </c>
      <c r="D117" s="10">
        <f t="shared" ref="D117:E117" si="32">SUM(D118:D124)</f>
        <v>0</v>
      </c>
      <c r="E117" s="10">
        <f t="shared" si="32"/>
        <v>60469868.899999999</v>
      </c>
      <c r="F117" s="10">
        <f>SUM(F118:F126)</f>
        <v>35345579.200000003</v>
      </c>
      <c r="G117" s="10">
        <f>SUM(G118:G126)</f>
        <v>35345579.200000003</v>
      </c>
      <c r="H117" s="10">
        <f t="shared" ref="H117:H154" si="33">+E117-F117</f>
        <v>25124289.699999996</v>
      </c>
    </row>
    <row r="118" spans="1:11" x14ac:dyDescent="0.25">
      <c r="A118" s="15"/>
      <c r="B118" s="16" t="s">
        <v>45</v>
      </c>
      <c r="C118" s="10">
        <v>0</v>
      </c>
      <c r="D118" s="10">
        <v>0</v>
      </c>
      <c r="E118" s="10">
        <f>+C118+D118</f>
        <v>0</v>
      </c>
      <c r="F118" s="10">
        <v>0</v>
      </c>
      <c r="G118" s="10">
        <v>0</v>
      </c>
      <c r="H118" s="10">
        <f t="shared" si="33"/>
        <v>0</v>
      </c>
    </row>
    <row r="119" spans="1:11" x14ac:dyDescent="0.25">
      <c r="A119" s="15"/>
      <c r="B119" s="16" t="s">
        <v>46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f t="shared" si="33"/>
        <v>0</v>
      </c>
    </row>
    <row r="120" spans="1:11" x14ac:dyDescent="0.25">
      <c r="A120" s="15"/>
      <c r="B120" s="16" t="s">
        <v>47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f t="shared" si="33"/>
        <v>0</v>
      </c>
    </row>
    <row r="121" spans="1:11" x14ac:dyDescent="0.25">
      <c r="A121" s="15"/>
      <c r="B121" s="16" t="s">
        <v>48</v>
      </c>
      <c r="C121" s="10">
        <v>363088.7</v>
      </c>
      <c r="D121" s="10">
        <v>0</v>
      </c>
      <c r="E121" s="10">
        <f>+C121+D121</f>
        <v>363088.7</v>
      </c>
      <c r="F121" s="10">
        <f>362488.7+600</f>
        <v>363088.7</v>
      </c>
      <c r="G121" s="10">
        <f>362488.7+600</f>
        <v>363088.7</v>
      </c>
      <c r="H121" s="10">
        <f t="shared" si="33"/>
        <v>0</v>
      </c>
    </row>
    <row r="122" spans="1:11" x14ac:dyDescent="0.25">
      <c r="A122" s="15"/>
      <c r="B122" s="16" t="s">
        <v>49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f t="shared" si="33"/>
        <v>0</v>
      </c>
    </row>
    <row r="123" spans="1:11" x14ac:dyDescent="0.25">
      <c r="A123" s="15"/>
      <c r="B123" s="16" t="s">
        <v>50</v>
      </c>
      <c r="C123" s="10">
        <f>28287112+9351347.9+723508.5+29583163.4-12729.5-69793.8-974131.1-30441.7-5672567.2-2030536.6-1982.5-105027.3+1058858.1</f>
        <v>60106780.199999996</v>
      </c>
      <c r="D123" s="10">
        <v>0</v>
      </c>
      <c r="E123" s="10">
        <f>+C123+D123</f>
        <v>60106780.199999996</v>
      </c>
      <c r="F123" s="10">
        <v>34982490.5</v>
      </c>
      <c r="G123" s="10">
        <v>34982490.5</v>
      </c>
      <c r="H123" s="10">
        <f t="shared" si="33"/>
        <v>25124289.699999996</v>
      </c>
      <c r="K123" s="14"/>
    </row>
    <row r="124" spans="1:11" x14ac:dyDescent="0.25">
      <c r="A124" s="15"/>
      <c r="B124" s="16" t="s">
        <v>51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f t="shared" si="33"/>
        <v>0</v>
      </c>
    </row>
    <row r="125" spans="1:11" x14ac:dyDescent="0.25">
      <c r="A125" s="15"/>
      <c r="B125" s="16" t="s">
        <v>52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f t="shared" si="33"/>
        <v>0</v>
      </c>
      <c r="K125" s="14"/>
    </row>
    <row r="126" spans="1:11" x14ac:dyDescent="0.25">
      <c r="A126" s="15"/>
      <c r="B126" s="16" t="s">
        <v>53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f t="shared" si="33"/>
        <v>0</v>
      </c>
    </row>
    <row r="127" spans="1:11" x14ac:dyDescent="0.25">
      <c r="A127" s="29" t="s">
        <v>54</v>
      </c>
      <c r="B127" s="30"/>
      <c r="C127" s="10">
        <f t="shared" ref="C127:G127" si="34">SUM(C128:C136)</f>
        <v>30079.1</v>
      </c>
      <c r="D127" s="10">
        <f t="shared" si="34"/>
        <v>0</v>
      </c>
      <c r="E127" s="10">
        <f t="shared" si="34"/>
        <v>30079.1</v>
      </c>
      <c r="F127" s="10">
        <f t="shared" si="34"/>
        <v>29000</v>
      </c>
      <c r="G127" s="10">
        <f t="shared" si="34"/>
        <v>29000</v>
      </c>
      <c r="H127" s="10">
        <f t="shared" si="33"/>
        <v>1079.0999999999985</v>
      </c>
    </row>
    <row r="128" spans="1:11" x14ac:dyDescent="0.25">
      <c r="A128" s="15"/>
      <c r="B128" s="16" t="s">
        <v>55</v>
      </c>
      <c r="C128" s="10">
        <v>30079.1</v>
      </c>
      <c r="D128" s="10">
        <v>0</v>
      </c>
      <c r="E128" s="10">
        <f>+C128+D128</f>
        <v>30079.1</v>
      </c>
      <c r="F128" s="10">
        <v>29000</v>
      </c>
      <c r="G128" s="10">
        <v>29000</v>
      </c>
      <c r="H128" s="10">
        <f t="shared" si="33"/>
        <v>1079.0999999999985</v>
      </c>
    </row>
    <row r="129" spans="1:14" x14ac:dyDescent="0.25">
      <c r="A129" s="15"/>
      <c r="B129" s="16" t="s">
        <v>56</v>
      </c>
      <c r="C129" s="10">
        <v>0</v>
      </c>
      <c r="D129" s="10">
        <v>0</v>
      </c>
      <c r="E129" s="10">
        <f>+C129+D129</f>
        <v>0</v>
      </c>
      <c r="F129" s="10">
        <v>0</v>
      </c>
      <c r="G129" s="10">
        <v>0</v>
      </c>
      <c r="H129" s="10">
        <f t="shared" si="33"/>
        <v>0</v>
      </c>
    </row>
    <row r="130" spans="1:14" x14ac:dyDescent="0.25">
      <c r="A130" s="15"/>
      <c r="B130" s="16" t="s">
        <v>57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f t="shared" si="33"/>
        <v>0</v>
      </c>
    </row>
    <row r="131" spans="1:14" x14ac:dyDescent="0.25">
      <c r="A131" s="15"/>
      <c r="B131" s="16" t="s">
        <v>58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f t="shared" si="33"/>
        <v>0</v>
      </c>
    </row>
    <row r="132" spans="1:14" x14ac:dyDescent="0.25">
      <c r="A132" s="15"/>
      <c r="B132" s="16" t="s">
        <v>59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f t="shared" si="33"/>
        <v>0</v>
      </c>
    </row>
    <row r="133" spans="1:14" x14ac:dyDescent="0.25">
      <c r="A133" s="15"/>
      <c r="B133" s="16" t="s">
        <v>60</v>
      </c>
      <c r="C133" s="10">
        <v>0</v>
      </c>
      <c r="D133" s="10">
        <v>0</v>
      </c>
      <c r="E133" s="10">
        <f>+C133+D133</f>
        <v>0</v>
      </c>
      <c r="F133" s="10">
        <v>0</v>
      </c>
      <c r="G133" s="10">
        <v>0</v>
      </c>
      <c r="H133" s="10">
        <f t="shared" si="33"/>
        <v>0</v>
      </c>
    </row>
    <row r="134" spans="1:14" x14ac:dyDescent="0.25">
      <c r="A134" s="15"/>
      <c r="B134" s="16" t="s">
        <v>61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f t="shared" si="33"/>
        <v>0</v>
      </c>
      <c r="L134" s="18"/>
      <c r="M134" s="18"/>
      <c r="N134" s="18"/>
    </row>
    <row r="135" spans="1:14" x14ac:dyDescent="0.25">
      <c r="A135" s="15"/>
      <c r="B135" s="16" t="s">
        <v>62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f t="shared" si="33"/>
        <v>0</v>
      </c>
      <c r="L135" s="18"/>
      <c r="M135" s="18"/>
      <c r="N135" s="18"/>
    </row>
    <row r="136" spans="1:14" x14ac:dyDescent="0.25">
      <c r="A136" s="15"/>
      <c r="B136" s="16" t="s">
        <v>63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f t="shared" si="33"/>
        <v>0</v>
      </c>
      <c r="L136" s="18"/>
      <c r="M136" s="18"/>
      <c r="N136" s="18"/>
    </row>
    <row r="137" spans="1:14" x14ac:dyDescent="0.25">
      <c r="A137" s="29" t="s">
        <v>64</v>
      </c>
      <c r="B137" s="30"/>
      <c r="C137" s="10">
        <f>SUM(C138:C140)</f>
        <v>5759693.0999999996</v>
      </c>
      <c r="D137" s="10">
        <f t="shared" ref="D137:G137" si="35">SUM(D138:D140)</f>
        <v>0</v>
      </c>
      <c r="E137" s="10">
        <f t="shared" si="35"/>
        <v>5759693.0999999996</v>
      </c>
      <c r="F137" s="10">
        <f t="shared" si="35"/>
        <v>5759693.0999999987</v>
      </c>
      <c r="G137" s="10">
        <f t="shared" si="35"/>
        <v>5759693.0999999996</v>
      </c>
      <c r="H137" s="10">
        <f t="shared" si="33"/>
        <v>0</v>
      </c>
      <c r="K137" s="14"/>
      <c r="L137" s="18"/>
      <c r="M137" s="18"/>
      <c r="N137" s="18"/>
    </row>
    <row r="138" spans="1:14" x14ac:dyDescent="0.25">
      <c r="A138" s="15"/>
      <c r="B138" s="16" t="s">
        <v>65</v>
      </c>
      <c r="C138" s="10">
        <v>5235447.0999999996</v>
      </c>
      <c r="D138" s="10">
        <v>0</v>
      </c>
      <c r="E138" s="10">
        <f>+C138+D138</f>
        <v>5235447.0999999996</v>
      </c>
      <c r="F138" s="10">
        <f>301303.9+94954.4+252670.2+1444704.5+5000+198501.1+272898.6+20000+1450.9+2449.8+957860.7+106486.6+11040+111868.5+7003.8+18712.4+6141.7+2597.8+6685.9+59740.8+3000+12225+1233122.9+0.3+75098.7+42153.6-12225</f>
        <v>5235447.0999999987</v>
      </c>
      <c r="G138" s="10">
        <v>5235447.0999999996</v>
      </c>
      <c r="H138" s="10">
        <f t="shared" si="33"/>
        <v>0</v>
      </c>
      <c r="J138" s="14"/>
      <c r="L138" s="18"/>
      <c r="M138" s="18"/>
      <c r="N138" s="18"/>
    </row>
    <row r="139" spans="1:14" x14ac:dyDescent="0.25">
      <c r="A139" s="15"/>
      <c r="B139" s="16" t="s">
        <v>66</v>
      </c>
      <c r="C139" s="10">
        <v>510200.6</v>
      </c>
      <c r="D139" s="10">
        <v>0</v>
      </c>
      <c r="E139" s="10">
        <f>+C139+D139</f>
        <v>510200.6</v>
      </c>
      <c r="F139" s="10">
        <f>62322+383072.3+40531.7+10000+8604.5+502.4+5167.7</f>
        <v>510200.60000000003</v>
      </c>
      <c r="G139" s="10">
        <v>510200.6</v>
      </c>
      <c r="H139" s="10">
        <f t="shared" si="33"/>
        <v>0</v>
      </c>
      <c r="M139" s="18"/>
    </row>
    <row r="140" spans="1:14" x14ac:dyDescent="0.25">
      <c r="A140" s="15"/>
      <c r="B140" s="16" t="s">
        <v>67</v>
      </c>
      <c r="C140" s="10">
        <v>14045.4</v>
      </c>
      <c r="D140" s="10">
        <v>0</v>
      </c>
      <c r="E140" s="10">
        <f>+C140+D140</f>
        <v>14045.4</v>
      </c>
      <c r="F140" s="10">
        <f>4000+10045.4</f>
        <v>14045.4</v>
      </c>
      <c r="G140" s="10">
        <v>14045.4</v>
      </c>
      <c r="H140" s="10">
        <f t="shared" si="33"/>
        <v>0</v>
      </c>
      <c r="M140" s="18"/>
    </row>
    <row r="141" spans="1:14" x14ac:dyDescent="0.25">
      <c r="A141" s="29" t="s">
        <v>68</v>
      </c>
      <c r="B141" s="30"/>
      <c r="C141" s="10">
        <f>SUM(C142:C149)</f>
        <v>0</v>
      </c>
      <c r="D141" s="10">
        <f t="shared" ref="D141:G141" si="36">SUM(D142:D149)</f>
        <v>0</v>
      </c>
      <c r="E141" s="10">
        <f t="shared" si="36"/>
        <v>0</v>
      </c>
      <c r="F141" s="10">
        <f t="shared" si="36"/>
        <v>0</v>
      </c>
      <c r="G141" s="10">
        <f t="shared" si="36"/>
        <v>0</v>
      </c>
      <c r="H141" s="10">
        <f t="shared" si="33"/>
        <v>0</v>
      </c>
      <c r="M141" s="20"/>
    </row>
    <row r="142" spans="1:14" x14ac:dyDescent="0.25">
      <c r="A142" s="15"/>
      <c r="B142" s="16" t="s">
        <v>69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f t="shared" si="33"/>
        <v>0</v>
      </c>
    </row>
    <row r="143" spans="1:14" x14ac:dyDescent="0.25">
      <c r="A143" s="15"/>
      <c r="B143" s="16" t="s">
        <v>70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f t="shared" si="33"/>
        <v>0</v>
      </c>
    </row>
    <row r="144" spans="1:14" x14ac:dyDescent="0.25">
      <c r="A144" s="15"/>
      <c r="B144" s="16" t="s">
        <v>71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f t="shared" si="33"/>
        <v>0</v>
      </c>
    </row>
    <row r="145" spans="1:13" x14ac:dyDescent="0.25">
      <c r="A145" s="15"/>
      <c r="B145" s="16" t="s">
        <v>72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f t="shared" si="33"/>
        <v>0</v>
      </c>
      <c r="L145" s="18"/>
      <c r="M145" s="18"/>
    </row>
    <row r="146" spans="1:13" x14ac:dyDescent="0.25">
      <c r="A146" s="15"/>
      <c r="B146" s="16" t="s">
        <v>73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f t="shared" si="33"/>
        <v>0</v>
      </c>
      <c r="L146" s="18"/>
      <c r="M146" s="18"/>
    </row>
    <row r="147" spans="1:13" x14ac:dyDescent="0.25">
      <c r="A147" s="15"/>
      <c r="B147" s="16" t="s">
        <v>74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f t="shared" si="33"/>
        <v>0</v>
      </c>
      <c r="L147" s="18"/>
      <c r="M147" s="18"/>
    </row>
    <row r="148" spans="1:13" x14ac:dyDescent="0.25">
      <c r="A148" s="15"/>
      <c r="B148" s="16" t="s">
        <v>75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f t="shared" si="33"/>
        <v>0</v>
      </c>
      <c r="L148" s="18"/>
      <c r="M148" s="18"/>
    </row>
    <row r="149" spans="1:13" x14ac:dyDescent="0.25">
      <c r="A149" s="15"/>
      <c r="B149" s="16" t="s">
        <v>76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f t="shared" si="33"/>
        <v>0</v>
      </c>
      <c r="L149" s="18"/>
      <c r="M149" s="18"/>
    </row>
    <row r="150" spans="1:13" x14ac:dyDescent="0.25">
      <c r="A150" s="29" t="s">
        <v>77</v>
      </c>
      <c r="B150" s="30"/>
      <c r="C150" s="10">
        <f>SUM(C151:C153)</f>
        <v>13223895.800000001</v>
      </c>
      <c r="D150" s="10">
        <f t="shared" ref="D150:G150" si="37">SUM(D151:D153)</f>
        <v>0</v>
      </c>
      <c r="E150" s="10">
        <f t="shared" si="37"/>
        <v>13223895.800000001</v>
      </c>
      <c r="F150" s="10">
        <f t="shared" si="37"/>
        <v>11365199.800000001</v>
      </c>
      <c r="G150" s="10">
        <f t="shared" si="37"/>
        <v>11365199.800000001</v>
      </c>
      <c r="H150" s="10">
        <f t="shared" si="33"/>
        <v>1858696</v>
      </c>
      <c r="L150" s="20"/>
    </row>
    <row r="151" spans="1:13" x14ac:dyDescent="0.25">
      <c r="A151" s="15"/>
      <c r="B151" s="16" t="s">
        <v>78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f t="shared" si="33"/>
        <v>0</v>
      </c>
    </row>
    <row r="152" spans="1:13" x14ac:dyDescent="0.25">
      <c r="A152" s="15"/>
      <c r="B152" s="16" t="s">
        <v>79</v>
      </c>
      <c r="C152" s="10">
        <f>4041963.1+9448704.7-462164.7-462164.7+1982.5</f>
        <v>12568320.9</v>
      </c>
      <c r="D152" s="10">
        <v>0</v>
      </c>
      <c r="E152" s="10">
        <f>+C152+D152</f>
        <v>12568320.9</v>
      </c>
      <c r="F152" s="10">
        <f>3628185.5+7081439.4</f>
        <v>10709624.9</v>
      </c>
      <c r="G152" s="10">
        <v>10709624.9</v>
      </c>
      <c r="H152" s="10">
        <f t="shared" si="33"/>
        <v>1858696</v>
      </c>
    </row>
    <row r="153" spans="1:13" x14ac:dyDescent="0.25">
      <c r="A153" s="15"/>
      <c r="B153" s="16" t="s">
        <v>80</v>
      </c>
      <c r="C153" s="10">
        <v>655574.9</v>
      </c>
      <c r="D153" s="10">
        <v>0</v>
      </c>
      <c r="E153" s="10">
        <f>+C153+D153</f>
        <v>655574.9</v>
      </c>
      <c r="F153" s="10">
        <v>655574.9</v>
      </c>
      <c r="G153" s="10">
        <v>655574.9</v>
      </c>
      <c r="H153" s="10">
        <f t="shared" si="33"/>
        <v>0</v>
      </c>
    </row>
    <row r="154" spans="1:13" x14ac:dyDescent="0.25">
      <c r="A154" s="29" t="s">
        <v>81</v>
      </c>
      <c r="B154" s="30"/>
      <c r="C154" s="10">
        <f>SUM(C155:C161)</f>
        <v>4386451.5</v>
      </c>
      <c r="D154" s="10">
        <f t="shared" ref="D154:F154" si="38">SUM(D155:D161)</f>
        <v>0</v>
      </c>
      <c r="E154" s="10">
        <f t="shared" si="38"/>
        <v>4386451.5</v>
      </c>
      <c r="F154" s="10">
        <f t="shared" si="38"/>
        <v>3145515.2</v>
      </c>
      <c r="G154" s="10">
        <v>3145515.2</v>
      </c>
      <c r="H154" s="10">
        <f t="shared" si="33"/>
        <v>1240936.2999999998</v>
      </c>
    </row>
    <row r="155" spans="1:13" x14ac:dyDescent="0.25">
      <c r="A155" s="15"/>
      <c r="B155" s="16" t="s">
        <v>82</v>
      </c>
      <c r="C155" s="10">
        <v>683641</v>
      </c>
      <c r="D155" s="10">
        <v>0</v>
      </c>
      <c r="E155" s="10">
        <f>+C155</f>
        <v>683641</v>
      </c>
      <c r="F155" s="10">
        <v>683641</v>
      </c>
      <c r="G155" s="10">
        <v>683641</v>
      </c>
      <c r="H155" s="10">
        <f t="shared" ref="H155:H161" si="39">+E155-F155</f>
        <v>0</v>
      </c>
    </row>
    <row r="156" spans="1:13" x14ac:dyDescent="0.25">
      <c r="A156" s="15"/>
      <c r="B156" s="16" t="s">
        <v>83</v>
      </c>
      <c r="C156" s="10">
        <f>3702810.5-544531</f>
        <v>3158279.5</v>
      </c>
      <c r="D156" s="10">
        <v>0</v>
      </c>
      <c r="E156" s="10">
        <f t="shared" ref="E156:E161" si="40">+C156</f>
        <v>3158279.5</v>
      </c>
      <c r="F156" s="10">
        <f>2461874.2-236723.2</f>
        <v>2225151</v>
      </c>
      <c r="G156" s="10">
        <v>2225151</v>
      </c>
      <c r="H156" s="10">
        <f t="shared" si="39"/>
        <v>933128.5</v>
      </c>
    </row>
    <row r="157" spans="1:13" x14ac:dyDescent="0.25">
      <c r="A157" s="15"/>
      <c r="B157" s="16" t="s">
        <v>84</v>
      </c>
      <c r="C157" s="10">
        <v>0</v>
      </c>
      <c r="D157" s="10">
        <v>0</v>
      </c>
      <c r="E157" s="10">
        <f t="shared" si="40"/>
        <v>0</v>
      </c>
      <c r="F157" s="10">
        <v>0</v>
      </c>
      <c r="G157" s="10">
        <v>0</v>
      </c>
      <c r="H157" s="10">
        <f t="shared" si="39"/>
        <v>0</v>
      </c>
    </row>
    <row r="158" spans="1:13" x14ac:dyDescent="0.25">
      <c r="A158" s="15"/>
      <c r="B158" s="16" t="s">
        <v>85</v>
      </c>
      <c r="C158" s="10">
        <v>0</v>
      </c>
      <c r="D158" s="10">
        <v>0</v>
      </c>
      <c r="E158" s="10">
        <f t="shared" si="40"/>
        <v>0</v>
      </c>
      <c r="F158" s="10">
        <v>0</v>
      </c>
      <c r="G158" s="10">
        <v>0</v>
      </c>
      <c r="H158" s="10">
        <f t="shared" si="39"/>
        <v>0</v>
      </c>
    </row>
    <row r="159" spans="1:13" x14ac:dyDescent="0.25">
      <c r="A159" s="15"/>
      <c r="B159" s="16" t="s">
        <v>86</v>
      </c>
      <c r="C159" s="10">
        <v>544531</v>
      </c>
      <c r="D159" s="10">
        <v>0</v>
      </c>
      <c r="E159" s="10">
        <f t="shared" si="40"/>
        <v>544531</v>
      </c>
      <c r="F159" s="10">
        <v>236723.20000000001</v>
      </c>
      <c r="G159" s="10">
        <v>236723.20000000001</v>
      </c>
      <c r="H159" s="10">
        <f t="shared" si="39"/>
        <v>307807.8</v>
      </c>
    </row>
    <row r="160" spans="1:13" x14ac:dyDescent="0.25">
      <c r="A160" s="15"/>
      <c r="B160" s="16" t="s">
        <v>87</v>
      </c>
      <c r="C160" s="10">
        <v>0</v>
      </c>
      <c r="D160" s="10">
        <v>0</v>
      </c>
      <c r="E160" s="10">
        <f t="shared" si="40"/>
        <v>0</v>
      </c>
      <c r="F160" s="10">
        <v>0</v>
      </c>
      <c r="G160" s="10">
        <v>0</v>
      </c>
      <c r="H160" s="10">
        <f t="shared" si="39"/>
        <v>0</v>
      </c>
    </row>
    <row r="161" spans="1:11" x14ac:dyDescent="0.25">
      <c r="A161" s="15"/>
      <c r="B161" s="16" t="s">
        <v>88</v>
      </c>
      <c r="C161" s="10">
        <v>0</v>
      </c>
      <c r="D161" s="10">
        <v>0</v>
      </c>
      <c r="E161" s="10">
        <f t="shared" si="40"/>
        <v>0</v>
      </c>
      <c r="F161" s="10">
        <v>0</v>
      </c>
      <c r="G161" s="10">
        <v>0</v>
      </c>
      <c r="H161" s="10">
        <f t="shared" si="39"/>
        <v>0</v>
      </c>
    </row>
    <row r="162" spans="1:11" x14ac:dyDescent="0.25">
      <c r="A162" s="15"/>
      <c r="B162" s="16"/>
      <c r="C162" s="10"/>
      <c r="D162" s="10"/>
      <c r="E162" s="10"/>
      <c r="F162" s="10"/>
      <c r="G162" s="10"/>
      <c r="H162" s="10"/>
    </row>
    <row r="163" spans="1:11" x14ac:dyDescent="0.25">
      <c r="A163" s="27" t="s">
        <v>90</v>
      </c>
      <c r="B163" s="28"/>
      <c r="C163" s="12">
        <f>+C10+C88</f>
        <v>227455309.63899997</v>
      </c>
      <c r="D163" s="12">
        <f t="shared" ref="D163:H163" si="41">+D10+D88</f>
        <v>571970.59582000191</v>
      </c>
      <c r="E163" s="12">
        <f t="shared" si="41"/>
        <v>228027280.23481998</v>
      </c>
      <c r="F163" s="12">
        <f t="shared" si="41"/>
        <v>176018996.22588003</v>
      </c>
      <c r="G163" s="12">
        <f t="shared" si="41"/>
        <v>173513013.57208002</v>
      </c>
      <c r="H163" s="12">
        <f t="shared" si="41"/>
        <v>52008284.008939996</v>
      </c>
    </row>
    <row r="164" spans="1:11" x14ac:dyDescent="0.25">
      <c r="A164" s="2"/>
      <c r="B164" s="3"/>
      <c r="C164" s="4"/>
      <c r="D164" s="4"/>
      <c r="E164" s="4"/>
      <c r="F164" s="4"/>
      <c r="G164" s="4"/>
      <c r="H164" s="4"/>
    </row>
    <row r="166" spans="1:11" x14ac:dyDescent="0.25">
      <c r="C166" s="14"/>
      <c r="H166" s="14"/>
    </row>
    <row r="167" spans="1:11" x14ac:dyDescent="0.25">
      <c r="J167" s="18"/>
      <c r="K167" s="18"/>
    </row>
    <row r="168" spans="1:11" x14ac:dyDescent="0.25">
      <c r="D168" s="14"/>
      <c r="E168" s="14"/>
      <c r="F168" s="14"/>
      <c r="G168" s="14"/>
      <c r="J168" s="18"/>
      <c r="K168" s="18"/>
    </row>
    <row r="169" spans="1:11" x14ac:dyDescent="0.25">
      <c r="J169" s="18"/>
      <c r="K169" s="18"/>
    </row>
    <row r="170" spans="1:11" x14ac:dyDescent="0.25">
      <c r="J170" s="18"/>
      <c r="K170" s="18"/>
    </row>
    <row r="171" spans="1:11" x14ac:dyDescent="0.25">
      <c r="J171" s="18"/>
      <c r="K171" s="18"/>
    </row>
    <row r="172" spans="1:11" x14ac:dyDescent="0.25">
      <c r="J172" s="18"/>
      <c r="K172" s="18"/>
    </row>
    <row r="175" spans="1:11" x14ac:dyDescent="0.25">
      <c r="C175" s="14"/>
      <c r="D175" s="14"/>
      <c r="E175" s="14"/>
      <c r="F175" s="14"/>
      <c r="G175" s="14"/>
      <c r="H175" s="14"/>
    </row>
    <row r="176" spans="1:11" x14ac:dyDescent="0.25">
      <c r="C176" s="14"/>
      <c r="D176" s="14"/>
      <c r="E176" s="14"/>
      <c r="F176" s="14"/>
      <c r="G176" s="14"/>
      <c r="H176" s="14"/>
    </row>
    <row r="177" spans="3:13" x14ac:dyDescent="0.25">
      <c r="C177" s="14"/>
      <c r="D177" s="14"/>
      <c r="E177" s="14"/>
      <c r="F177" s="14"/>
      <c r="G177" s="14"/>
      <c r="H177" s="14"/>
    </row>
    <row r="178" spans="3:13" x14ac:dyDescent="0.25">
      <c r="C178" s="14"/>
      <c r="D178" s="14"/>
      <c r="E178" s="14"/>
      <c r="F178" s="14"/>
      <c r="G178" s="14"/>
      <c r="H178" s="14"/>
      <c r="L178" s="14"/>
      <c r="M178" s="14"/>
    </row>
    <row r="179" spans="3:13" x14ac:dyDescent="0.25">
      <c r="C179" s="14"/>
      <c r="D179" s="14"/>
      <c r="E179" s="14"/>
      <c r="F179" s="14"/>
      <c r="G179" s="14"/>
      <c r="H179" s="14"/>
    </row>
    <row r="180" spans="3:13" x14ac:dyDescent="0.25">
      <c r="C180" s="14"/>
      <c r="D180" s="14"/>
      <c r="E180" s="14"/>
      <c r="F180" s="14"/>
      <c r="G180" s="14"/>
      <c r="H180" s="14"/>
      <c r="L180" s="14"/>
      <c r="M180" s="14"/>
    </row>
    <row r="181" spans="3:13" x14ac:dyDescent="0.25">
      <c r="C181" s="14"/>
      <c r="D181" s="14"/>
      <c r="E181" s="14"/>
      <c r="F181" s="14"/>
      <c r="G181" s="14"/>
      <c r="H181" s="14"/>
    </row>
    <row r="182" spans="3:13" x14ac:dyDescent="0.25">
      <c r="C182" s="14"/>
      <c r="D182" s="14"/>
      <c r="E182" s="14"/>
      <c r="F182" s="14"/>
      <c r="G182" s="14"/>
      <c r="H182" s="14"/>
    </row>
    <row r="183" spans="3:13" x14ac:dyDescent="0.25">
      <c r="C183" s="14"/>
      <c r="D183" s="14"/>
      <c r="E183" s="14"/>
      <c r="F183" s="14"/>
      <c r="G183" s="14"/>
      <c r="H183" s="14"/>
    </row>
    <row r="184" spans="3:13" x14ac:dyDescent="0.25">
      <c r="C184" s="21"/>
      <c r="D184" s="21"/>
      <c r="E184" s="21"/>
      <c r="F184" s="21"/>
      <c r="G184" s="21"/>
      <c r="H184" s="21"/>
    </row>
    <row r="186" spans="3:13" x14ac:dyDescent="0.25">
      <c r="C186" s="14"/>
      <c r="D186" s="14"/>
      <c r="E186" s="14"/>
      <c r="F186" s="14"/>
      <c r="G186" s="14"/>
      <c r="H186" s="14"/>
    </row>
    <row r="187" spans="3:13" x14ac:dyDescent="0.25">
      <c r="F187" s="22"/>
      <c r="G187" s="22"/>
    </row>
    <row r="188" spans="3:13" x14ac:dyDescent="0.25">
      <c r="F188" s="23"/>
      <c r="G188" s="23"/>
    </row>
    <row r="190" spans="3:13" x14ac:dyDescent="0.25">
      <c r="F190" s="20"/>
      <c r="G190" s="20"/>
    </row>
  </sheetData>
  <mergeCells count="31">
    <mergeCell ref="A11:B11"/>
    <mergeCell ref="A1:H1"/>
    <mergeCell ref="A2:H2"/>
    <mergeCell ref="A3:H3"/>
    <mergeCell ref="A4:H4"/>
    <mergeCell ref="A5:H5"/>
    <mergeCell ref="A6:H6"/>
    <mergeCell ref="A7:H7"/>
    <mergeCell ref="A8:B9"/>
    <mergeCell ref="C8:G8"/>
    <mergeCell ref="H8:H9"/>
    <mergeCell ref="A10:B10"/>
    <mergeCell ref="A107:B107"/>
    <mergeCell ref="A20:B20"/>
    <mergeCell ref="A30:B30"/>
    <mergeCell ref="A40:B40"/>
    <mergeCell ref="A50:B50"/>
    <mergeCell ref="A60:B60"/>
    <mergeCell ref="A64:B64"/>
    <mergeCell ref="A73:B73"/>
    <mergeCell ref="A77:B77"/>
    <mergeCell ref="A88:B88"/>
    <mergeCell ref="A89:B89"/>
    <mergeCell ref="A97:B97"/>
    <mergeCell ref="A163:B163"/>
    <mergeCell ref="A117:B117"/>
    <mergeCell ref="A127:B127"/>
    <mergeCell ref="A137:B137"/>
    <mergeCell ref="A141:B141"/>
    <mergeCell ref="A150:B150"/>
    <mergeCell ref="A154:B154"/>
  </mergeCells>
  <pageMargins left="0.70866141732283472" right="0.70866141732283472" top="0.74803149606299213" bottom="0.74803149606299213" header="0.31496062992125984" footer="0.31496062992125984"/>
  <pageSetup scale="54" fitToHeight="2" orientation="portrait" r:id="rId1"/>
  <rowBreaks count="1" manualBreakCount="1"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/>
  <cp:lastPrinted>2017-11-09T00:23:58Z</cp:lastPrinted>
  <dcterms:created xsi:type="dcterms:W3CDTF">2017-05-09T18:38:53Z</dcterms:created>
  <dcterms:modified xsi:type="dcterms:W3CDTF">2017-11-09T19:49:32Z</dcterms:modified>
</cp:coreProperties>
</file>