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0" windowWidth="24240" windowHeight="11970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C62" i="1" l="1"/>
  <c r="G62" i="1" l="1"/>
  <c r="F62" i="1"/>
  <c r="G139" i="1"/>
  <c r="F139" i="1"/>
  <c r="C156" i="1"/>
  <c r="G79" i="1"/>
  <c r="F79" i="1"/>
  <c r="F156" i="1"/>
  <c r="G156" i="1"/>
  <c r="G155" i="1" s="1"/>
  <c r="C157" i="1" l="1"/>
  <c r="G157" i="1"/>
  <c r="F157" i="1"/>
  <c r="C100" i="1" l="1"/>
  <c r="C124" i="1"/>
  <c r="C47" i="1" s="1"/>
  <c r="C15" i="1" l="1"/>
  <c r="C17" i="1"/>
  <c r="C16" i="1"/>
  <c r="C91" i="1"/>
  <c r="E95" i="1"/>
  <c r="E94" i="1"/>
  <c r="E93" i="1"/>
  <c r="C99" i="1"/>
  <c r="C34" i="1"/>
  <c r="C111" i="1"/>
  <c r="C30" i="1"/>
  <c r="E107" i="1"/>
  <c r="C115" i="1"/>
  <c r="C116" i="1"/>
  <c r="C117" i="1"/>
  <c r="C40" i="1"/>
  <c r="C42" i="1"/>
  <c r="C122" i="1"/>
  <c r="C153" i="1"/>
  <c r="G22" i="1"/>
  <c r="G42" i="1"/>
  <c r="F42" i="1"/>
  <c r="G77" i="1"/>
  <c r="F77" i="1"/>
  <c r="G76" i="1"/>
  <c r="F76" i="1"/>
  <c r="G47" i="1"/>
  <c r="F47" i="1"/>
  <c r="G17" i="1"/>
  <c r="F17" i="1"/>
  <c r="G16" i="1"/>
  <c r="F16" i="1"/>
  <c r="G15" i="1"/>
  <c r="F15" i="1"/>
  <c r="G63" i="1"/>
  <c r="F63" i="1"/>
  <c r="G13" i="1"/>
  <c r="F13" i="1"/>
  <c r="G64" i="1"/>
  <c r="F64" i="1"/>
  <c r="G52" i="1"/>
  <c r="F52" i="1"/>
  <c r="G45" i="1"/>
  <c r="F45" i="1"/>
  <c r="G40" i="1"/>
  <c r="F40" i="1"/>
  <c r="G39" i="1"/>
  <c r="F39" i="1"/>
  <c r="G38" i="1"/>
  <c r="G34" i="1"/>
  <c r="G28" i="1"/>
  <c r="F28" i="1"/>
  <c r="G30" i="1"/>
  <c r="G23" i="1"/>
  <c r="F23" i="1"/>
  <c r="F38" i="1"/>
  <c r="F34" i="1"/>
  <c r="F30" i="1"/>
  <c r="F22" i="1"/>
  <c r="C28" i="1" l="1"/>
  <c r="E28" i="1" s="1"/>
  <c r="H28" i="1" s="1"/>
  <c r="C79" i="1"/>
  <c r="E79" i="1" s="1"/>
  <c r="H79" i="1" s="1"/>
  <c r="C80" i="1"/>
  <c r="E80" i="1" s="1"/>
  <c r="H80" i="1" s="1"/>
  <c r="C75" i="1"/>
  <c r="E75" i="1" s="1"/>
  <c r="H75" i="1" s="1"/>
  <c r="C76" i="1"/>
  <c r="C64" i="1"/>
  <c r="E64" i="1" s="1"/>
  <c r="H64" i="1" s="1"/>
  <c r="C63" i="1"/>
  <c r="E62" i="1"/>
  <c r="H62" i="1" s="1"/>
  <c r="C52" i="1"/>
  <c r="E52" i="1" s="1"/>
  <c r="H52" i="1" s="1"/>
  <c r="E47" i="1"/>
  <c r="H47" i="1" s="1"/>
  <c r="C45" i="1"/>
  <c r="E40" i="1"/>
  <c r="H40" i="1" s="1"/>
  <c r="C39" i="1"/>
  <c r="C38" i="1"/>
  <c r="E38" i="1" s="1"/>
  <c r="H38" i="1" s="1"/>
  <c r="E34" i="1"/>
  <c r="H34" i="1" s="1"/>
  <c r="C23" i="1"/>
  <c r="E23" i="1" s="1"/>
  <c r="H23" i="1" s="1"/>
  <c r="C22" i="1"/>
  <c r="E22" i="1" s="1"/>
  <c r="H22" i="1" s="1"/>
  <c r="C13" i="1"/>
  <c r="E13" i="1" s="1"/>
  <c r="H13" i="1" s="1"/>
  <c r="H85" i="1"/>
  <c r="H84" i="1"/>
  <c r="H83" i="1"/>
  <c r="H82" i="1"/>
  <c r="H81" i="1"/>
  <c r="H77" i="1"/>
  <c r="H73" i="1"/>
  <c r="H72" i="1"/>
  <c r="H71" i="1"/>
  <c r="H70" i="1"/>
  <c r="H69" i="1"/>
  <c r="H68" i="1"/>
  <c r="H67" i="1"/>
  <c r="H66" i="1"/>
  <c r="H60" i="1"/>
  <c r="H59" i="1"/>
  <c r="H58" i="1"/>
  <c r="H57" i="1"/>
  <c r="H56" i="1"/>
  <c r="H55" i="1"/>
  <c r="H54" i="1"/>
  <c r="H53" i="1"/>
  <c r="H50" i="1"/>
  <c r="H49" i="1"/>
  <c r="H48" i="1"/>
  <c r="H46" i="1"/>
  <c r="H44" i="1"/>
  <c r="H43" i="1"/>
  <c r="H37" i="1"/>
  <c r="H36" i="1"/>
  <c r="H35" i="1"/>
  <c r="H33" i="1"/>
  <c r="H32" i="1"/>
  <c r="H29" i="1"/>
  <c r="H27" i="1"/>
  <c r="H26" i="1"/>
  <c r="H25" i="1"/>
  <c r="H24" i="1"/>
  <c r="H20" i="1"/>
  <c r="H19" i="1"/>
  <c r="H18" i="1"/>
  <c r="H14" i="1"/>
  <c r="E85" i="1"/>
  <c r="E84" i="1"/>
  <c r="E83" i="1"/>
  <c r="E82" i="1"/>
  <c r="E81" i="1"/>
  <c r="E77" i="1"/>
  <c r="E76" i="1"/>
  <c r="H76" i="1" s="1"/>
  <c r="E73" i="1"/>
  <c r="E72" i="1"/>
  <c r="E71" i="1"/>
  <c r="E70" i="1"/>
  <c r="E69" i="1"/>
  <c r="E68" i="1"/>
  <c r="E67" i="1"/>
  <c r="E66" i="1"/>
  <c r="E63" i="1"/>
  <c r="H63" i="1" s="1"/>
  <c r="E60" i="1"/>
  <c r="E59" i="1"/>
  <c r="E58" i="1"/>
  <c r="E57" i="1"/>
  <c r="E56" i="1"/>
  <c r="E55" i="1"/>
  <c r="E54" i="1"/>
  <c r="E53" i="1"/>
  <c r="E50" i="1"/>
  <c r="E49" i="1"/>
  <c r="E48" i="1"/>
  <c r="E46" i="1"/>
  <c r="E45" i="1"/>
  <c r="H45" i="1" s="1"/>
  <c r="E44" i="1"/>
  <c r="E43" i="1"/>
  <c r="E42" i="1"/>
  <c r="H42" i="1" s="1"/>
  <c r="E39" i="1"/>
  <c r="H39" i="1" s="1"/>
  <c r="E37" i="1"/>
  <c r="E36" i="1"/>
  <c r="E35" i="1"/>
  <c r="E33" i="1"/>
  <c r="E32" i="1"/>
  <c r="E30" i="1"/>
  <c r="H30" i="1" s="1"/>
  <c r="E29" i="1"/>
  <c r="E27" i="1"/>
  <c r="E26" i="1"/>
  <c r="E25" i="1"/>
  <c r="E24" i="1"/>
  <c r="E20" i="1"/>
  <c r="E19" i="1"/>
  <c r="E18" i="1"/>
  <c r="E17" i="1"/>
  <c r="H17" i="1" s="1"/>
  <c r="E16" i="1"/>
  <c r="H16" i="1" s="1"/>
  <c r="E15" i="1"/>
  <c r="H15" i="1" s="1"/>
  <c r="E14" i="1"/>
  <c r="C151" i="1" l="1"/>
  <c r="H162" i="1" l="1"/>
  <c r="H161" i="1"/>
  <c r="H159" i="1"/>
  <c r="H158" i="1"/>
  <c r="H152" i="1"/>
  <c r="H150" i="1"/>
  <c r="H149" i="1"/>
  <c r="H148" i="1"/>
  <c r="H147" i="1"/>
  <c r="H146" i="1"/>
  <c r="H145" i="1"/>
  <c r="H144" i="1"/>
  <c r="H143" i="1"/>
  <c r="H140" i="1"/>
  <c r="H137" i="1"/>
  <c r="H136" i="1"/>
  <c r="H135" i="1"/>
  <c r="H134" i="1"/>
  <c r="H133" i="1"/>
  <c r="H132" i="1"/>
  <c r="H131" i="1"/>
  <c r="H130" i="1"/>
  <c r="H129" i="1"/>
  <c r="H127" i="1"/>
  <c r="H126" i="1"/>
  <c r="H125" i="1"/>
  <c r="H123" i="1"/>
  <c r="H121" i="1"/>
  <c r="H120" i="1"/>
  <c r="H114" i="1"/>
  <c r="H113" i="1"/>
  <c r="H112" i="1"/>
  <c r="H110" i="1"/>
  <c r="H109" i="1"/>
  <c r="H107" i="1"/>
  <c r="H106" i="1"/>
  <c r="H105" i="1"/>
  <c r="H104" i="1"/>
  <c r="H103" i="1"/>
  <c r="H102" i="1"/>
  <c r="H101" i="1"/>
  <c r="H97" i="1"/>
  <c r="H96" i="1"/>
  <c r="H95" i="1"/>
  <c r="H94" i="1"/>
  <c r="H93" i="1"/>
  <c r="H92" i="1"/>
  <c r="E100" i="1"/>
  <c r="H100" i="1" s="1"/>
  <c r="F142" i="1" l="1"/>
  <c r="E12" i="1" l="1"/>
  <c r="C12" i="1" l="1"/>
  <c r="D12" i="1"/>
  <c r="F12" i="1"/>
  <c r="H12" i="1" s="1"/>
  <c r="G12" i="1"/>
  <c r="C21" i="1" l="1"/>
  <c r="C98" i="1"/>
  <c r="E154" i="1" l="1"/>
  <c r="H154" i="1" s="1"/>
  <c r="E141" i="1"/>
  <c r="H141" i="1" s="1"/>
  <c r="E140" i="1"/>
  <c r="E134" i="1"/>
  <c r="E130" i="1"/>
  <c r="E129" i="1"/>
  <c r="E128" i="1" s="1"/>
  <c r="D128" i="1"/>
  <c r="C128" i="1"/>
  <c r="E122" i="1"/>
  <c r="H122" i="1" s="1"/>
  <c r="E119" i="1"/>
  <c r="H119" i="1" s="1"/>
  <c r="C118" i="1"/>
  <c r="E114" i="1"/>
  <c r="G108" i="1"/>
  <c r="D108" i="1"/>
  <c r="E117" i="1"/>
  <c r="H117" i="1" s="1"/>
  <c r="E116" i="1"/>
  <c r="H116" i="1" s="1"/>
  <c r="E115" i="1"/>
  <c r="H115" i="1" s="1"/>
  <c r="E111" i="1"/>
  <c r="H111" i="1" s="1"/>
  <c r="E105" i="1"/>
  <c r="E104" i="1"/>
  <c r="G98" i="1"/>
  <c r="F98" i="1"/>
  <c r="D98" i="1"/>
  <c r="E99" i="1"/>
  <c r="H99" i="1" s="1"/>
  <c r="E98" i="1" l="1"/>
  <c r="E108" i="1"/>
  <c r="G118" i="1"/>
  <c r="F118" i="1"/>
  <c r="F108" i="1"/>
  <c r="G78" i="1" l="1"/>
  <c r="G74" i="1"/>
  <c r="G65" i="1"/>
  <c r="G61" i="1"/>
  <c r="G51" i="1"/>
  <c r="G41" i="1"/>
  <c r="G31" i="1"/>
  <c r="G21" i="1"/>
  <c r="F78" i="1"/>
  <c r="F74" i="1"/>
  <c r="F65" i="1"/>
  <c r="F61" i="1"/>
  <c r="F51" i="1"/>
  <c r="F41" i="1"/>
  <c r="F31" i="1"/>
  <c r="F21" i="1"/>
  <c r="D78" i="1"/>
  <c r="D74" i="1"/>
  <c r="D65" i="1"/>
  <c r="D61" i="1"/>
  <c r="D51" i="1"/>
  <c r="D41" i="1"/>
  <c r="D31" i="1"/>
  <c r="D21" i="1"/>
  <c r="C78" i="1"/>
  <c r="C74" i="1"/>
  <c r="C65" i="1"/>
  <c r="C51" i="1"/>
  <c r="C41" i="1"/>
  <c r="C31" i="1"/>
  <c r="F11" i="1" l="1"/>
  <c r="E31" i="1"/>
  <c r="H65" i="1"/>
  <c r="E61" i="1"/>
  <c r="H21" i="1"/>
  <c r="E21" i="1"/>
  <c r="E65" i="1"/>
  <c r="C61" i="1"/>
  <c r="C11" i="1" s="1"/>
  <c r="E51" i="1"/>
  <c r="H31" i="1"/>
  <c r="H51" i="1"/>
  <c r="E74" i="1"/>
  <c r="H78" i="1"/>
  <c r="E78" i="1"/>
  <c r="E41" i="1"/>
  <c r="G11" i="1"/>
  <c r="D11" i="1"/>
  <c r="H41" i="1" l="1"/>
  <c r="H74" i="1"/>
  <c r="H61" i="1"/>
  <c r="E162" i="1"/>
  <c r="E161" i="1"/>
  <c r="E160" i="1"/>
  <c r="H160" i="1" s="1"/>
  <c r="E159" i="1"/>
  <c r="E158" i="1"/>
  <c r="E157" i="1"/>
  <c r="H157" i="1" s="1"/>
  <c r="E156" i="1"/>
  <c r="H156" i="1" s="1"/>
  <c r="F155" i="1"/>
  <c r="E153" i="1"/>
  <c r="H153" i="1" s="1"/>
  <c r="F151" i="1"/>
  <c r="E142" i="1"/>
  <c r="H142" i="1"/>
  <c r="E139" i="1"/>
  <c r="H139" i="1" s="1"/>
  <c r="F138" i="1"/>
  <c r="F128" i="1"/>
  <c r="H128" i="1" s="1"/>
  <c r="E124" i="1"/>
  <c r="H124" i="1" s="1"/>
  <c r="D155" i="1"/>
  <c r="G151" i="1"/>
  <c r="D151" i="1"/>
  <c r="G142" i="1"/>
  <c r="D142" i="1"/>
  <c r="G138" i="1"/>
  <c r="D138" i="1"/>
  <c r="G128" i="1"/>
  <c r="D118" i="1"/>
  <c r="G90" i="1"/>
  <c r="F90" i="1"/>
  <c r="D90" i="1"/>
  <c r="C155" i="1"/>
  <c r="C142" i="1"/>
  <c r="C138" i="1"/>
  <c r="C108" i="1"/>
  <c r="C90" i="1"/>
  <c r="E91" i="1"/>
  <c r="H91" i="1" s="1"/>
  <c r="H90" i="1" l="1"/>
  <c r="E155" i="1"/>
  <c r="H155" i="1" s="1"/>
  <c r="E90" i="1"/>
  <c r="D89" i="1"/>
  <c r="D164" i="1" s="1"/>
  <c r="H108" i="1"/>
  <c r="E151" i="1"/>
  <c r="E138" i="1"/>
  <c r="C89" i="1"/>
  <c r="C164" i="1" s="1"/>
  <c r="E118" i="1"/>
  <c r="H98" i="1"/>
  <c r="G89" i="1"/>
  <c r="G164" i="1" s="1"/>
  <c r="F89" i="1"/>
  <c r="H11" i="1"/>
  <c r="F164" i="1" l="1"/>
  <c r="H138" i="1"/>
  <c r="H151" i="1"/>
  <c r="H118" i="1"/>
  <c r="E89" i="1"/>
  <c r="E11" i="1"/>
  <c r="H89" i="1" l="1"/>
  <c r="H164" i="1" s="1"/>
  <c r="E164" i="1"/>
</calcChain>
</file>

<file path=xl/sharedStrings.xml><?xml version="1.0" encoding="utf-8"?>
<sst xmlns="http://schemas.openxmlformats.org/spreadsheetml/2006/main" count="166" uniqueCount="93">
  <si>
    <t>Formato 6 a) Estado Analítico del Ejercicio del Presupuesto de Egresos Detallado - LDF</t>
  </si>
  <si>
    <t>(Clasificación por Objeto del Gasto)</t>
  </si>
  <si>
    <t>Gobierno del Estado de México</t>
  </si>
  <si>
    <t>Estado Analítico del Ejercicio del Presupuesto de Egresos Detallado - LDF</t>
  </si>
  <si>
    <t xml:space="preserve">Clasificación por Objeto del Gasto (Capítulo y Concepto) </t>
  </si>
  <si>
    <t>(Miles de 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</si>
  <si>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</si>
  <si>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</si>
  <si>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</si>
  <si>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</si>
  <si>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</si>
  <si>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</si>
  <si>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</si>
  <si>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</si>
  <si>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</si>
  <si>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</si>
  <si>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</si>
  <si>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</si>
  <si>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</si>
  <si>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</si>
  <si>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</si>
  <si>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</si>
  <si>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</si>
  <si>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a8) Impuesto sobre nóminas y otros que se deriven de una relación laboral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</si>
  <si>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</si>
  <si>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</si>
  <si>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</si>
  <si>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</si>
  <si>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</si>
  <si>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</si>
  <si>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</si>
  <si>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</si>
  <si>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</si>
  <si>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</si>
  <si>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</si>
  <si>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</si>
  <si>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</si>
  <si>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</si>
  <si>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</si>
  <si>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</si>
  <si>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</si>
  <si>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</si>
  <si>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</si>
  <si>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</si>
  <si>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</si>
  <si>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</si>
  <si>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</si>
  <si>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</si>
  <si>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</si>
  <si>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</si>
  <si>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</si>
  <si>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</si>
  <si>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</si>
  <si>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</si>
  <si>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</si>
  <si>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</si>
  <si>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</si>
  <si>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</si>
  <si>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</si>
  <si>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</si>
  <si>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</si>
  <si>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</si>
  <si>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</si>
  <si>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</si>
  <si>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</si>
  <si>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</si>
  <si>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</si>
  <si>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</si>
  <si>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</si>
  <si>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</si>
  <si>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</si>
  <si>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</si>
  <si>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</si>
  <si>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</si>
  <si>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</si>
  <si>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</si>
  <si>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</si>
  <si>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</si>
  <si>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</si>
  <si>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</si>
  <si>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</si>
  <si>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</si>
  <si>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</si>
  <si>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</si>
  <si>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</si>
  <si>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</si>
  <si>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</si>
  <si>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</si>
  <si>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</si>
  <si>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</si>
  <si>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</si>
  <si>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Del 1 de enero al 31 de diciembre de 2017 (b)</t>
  </si>
  <si>
    <t>Cifras Preeliminares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</si>
</sst>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#,##0.0"/>
    <numFmt numFmtId="165" formatCode="_-* #,##0.0_-;\-* #,##0.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6.5"/>
      <color theme="1"/>
      <name val="Arial"/>
      <family val="2"/>
    </font>
    <font>
      <sz val="6.5"/>
      <color theme="1"/>
      <name val="Arial"/>
      <family val="2"/>
    </font>
    <font>
      <sz val="6.5"/>
      <color theme="1"/>
      <name val="Calibri"/>
      <family val="2"/>
      <scheme val="minor"/>
    </font>
    <font>
      <b/>
      <sz val="6.5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8">
    <xf numFmtId="0" fontId="0" fillId="0" borderId="0" xfId="0"/>
    <xf numFmtId="0" fontId="3" fillId="2" borderId="9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43" fontId="3" fillId="0" borderId="12" xfId="1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164" fontId="5" fillId="0" borderId="0" xfId="0" applyNumberFormat="1" applyFont="1"/>
    <xf numFmtId="164" fontId="5" fillId="0" borderId="10" xfId="0" applyNumberFormat="1" applyFont="1" applyBorder="1"/>
    <xf numFmtId="164" fontId="5" fillId="0" borderId="11" xfId="0" applyNumberFormat="1" applyFont="1" applyBorder="1"/>
    <xf numFmtId="164" fontId="5" fillId="0" borderId="12" xfId="0" applyNumberFormat="1" applyFont="1" applyBorder="1"/>
    <xf numFmtId="164" fontId="6" fillId="0" borderId="11" xfId="0" applyNumberFormat="1" applyFont="1" applyBorder="1"/>
    <xf numFmtId="164" fontId="6" fillId="0" borderId="10" xfId="0" applyNumberFormat="1" applyFont="1" applyBorder="1"/>
    <xf numFmtId="164" fontId="0" fillId="0" borderId="0" xfId="0" applyNumberFormat="1"/>
    <xf numFmtId="0" fontId="4" fillId="0" borderId="4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3" fillId="2" borderId="9" xfId="0" applyFont="1" applyFill="1" applyBorder="1" applyAlignment="1">
      <alignment horizontal="center" vertical="center"/>
    </xf>
    <xf numFmtId="43" fontId="0" fillId="0" borderId="0" xfId="1" applyFont="1"/>
    <xf numFmtId="164" fontId="5" fillId="0" borderId="11" xfId="0" applyNumberFormat="1" applyFont="1" applyFill="1" applyBorder="1"/>
    <xf numFmtId="43" fontId="0" fillId="0" borderId="0" xfId="0" applyNumberFormat="1"/>
    <xf numFmtId="164" fontId="7" fillId="0" borderId="0" xfId="0" applyNumberFormat="1" applyFont="1"/>
    <xf numFmtId="0" fontId="8" fillId="0" borderId="0" xfId="0" applyFont="1"/>
    <xf numFmtId="165" fontId="8" fillId="0" borderId="0" xfId="1" applyNumberFormat="1" applyFont="1"/>
    <xf numFmtId="164" fontId="0" fillId="0" borderId="0" xfId="0" applyNumberFormat="1" applyBorder="1"/>
    <xf numFmtId="164" fontId="5" fillId="0" borderId="0" xfId="0" applyNumberFormat="1" applyFont="1" applyFill="1" applyBorder="1"/>
    <xf numFmtId="0" fontId="0" fillId="0" borderId="0" xfId="0" applyBorder="1"/>
    <xf numFmtId="0" fontId="9" fillId="0" borderId="0" xfId="0" applyFont="1"/>
    <xf numFmtId="164" fontId="9" fillId="0" borderId="0" xfId="0" applyNumberFormat="1" applyFont="1"/>
    <xf numFmtId="43" fontId="7" fillId="0" borderId="0" xfId="1" applyFont="1"/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Border="1" applyAlignment="1">
      <alignment horizontal="left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91"/>
  <sheetViews>
    <sheetView tabSelected="1" view="pageBreakPreview" zoomScale="110" zoomScaleNormal="100" zoomScaleSheetLayoutView="110" workbookViewId="0">
      <selection activeCell="K17" sqref="K17"/>
    </sheetView>
  </sheetViews>
  <sheetFormatPr baseColWidth="10" defaultColWidth="11.42578125" defaultRowHeight="15" x14ac:dyDescent="0.25"/>
  <cols>
    <col min="1" max="1" width="3.140625" customWidth="1"/>
    <col min="2" max="2" width="55.140625" customWidth="1"/>
    <col min="3" max="3" width="12.5703125" customWidth="1"/>
    <col min="4" max="4" width="15.140625" customWidth="1"/>
    <col min="5" max="5" width="15.28515625" customWidth="1"/>
    <col min="6" max="6" width="14.140625" customWidth="1"/>
    <col min="7" max="7" width="12.7109375" customWidth="1"/>
    <col min="8" max="8" width="13.7109375" customWidth="1"/>
    <col min="9" max="9" width="11.7109375" bestFit="1" customWidth="1"/>
    <col min="10" max="10" width="15.28515625" bestFit="1" customWidth="1"/>
    <col min="11" max="11" width="14.28515625" bestFit="1" customWidth="1"/>
    <col min="12" max="13" width="15.28515625" bestFit="1" customWidth="1"/>
    <col min="14" max="15" width="13.140625" bestFit="1" customWidth="1"/>
  </cols>
  <sheetData>
    <row r="1" spans="1:11" x14ac:dyDescent="0.25">
      <c r="A1" s="34" t="s">
        <v>0</v>
      </c>
      <c r="B1" s="34"/>
      <c r="C1" s="34"/>
      <c r="D1" s="34"/>
      <c r="E1" s="34"/>
      <c r="F1" s="34"/>
      <c r="G1" s="34"/>
      <c r="H1" s="34"/>
    </row>
    <row r="2" spans="1:11" x14ac:dyDescent="0.25">
      <c r="A2" s="35" t="s">
        <v>1</v>
      </c>
      <c r="B2" s="35"/>
      <c r="C2" s="35"/>
      <c r="D2" s="35"/>
      <c r="E2" s="35"/>
      <c r="F2" s="35"/>
      <c r="G2" s="35"/>
      <c r="H2" s="35"/>
    </row>
    <row r="3" spans="1:11" x14ac:dyDescent="0.25">
      <c r="A3" s="36" t="s">
        <v>2</v>
      </c>
      <c r="B3" s="37"/>
      <c r="C3" s="37"/>
      <c r="D3" s="37"/>
      <c r="E3" s="37"/>
      <c r="F3" s="37"/>
      <c r="G3" s="37"/>
      <c r="H3" s="38"/>
    </row>
    <row r="4" spans="1:11" x14ac:dyDescent="0.25">
      <c r="A4" s="39" t="s">
        <v>3</v>
      </c>
      <c r="B4" s="40"/>
      <c r="C4" s="40"/>
      <c r="D4" s="40"/>
      <c r="E4" s="40"/>
      <c r="F4" s="40"/>
      <c r="G4" s="40"/>
      <c r="H4" s="41"/>
    </row>
    <row r="5" spans="1:11" x14ac:dyDescent="0.25">
      <c r="A5" s="39" t="s">
        <v>4</v>
      </c>
      <c r="B5" s="40"/>
      <c r="C5" s="40"/>
      <c r="D5" s="40"/>
      <c r="E5" s="40"/>
      <c r="F5" s="40"/>
      <c r="G5" s="40"/>
      <c r="H5" s="41"/>
    </row>
    <row r="6" spans="1:11" x14ac:dyDescent="0.25">
      <c r="A6" s="39" t="s">
        <v>92</v>
      </c>
      <c r="B6" s="40"/>
      <c r="C6" s="40"/>
      <c r="D6" s="40"/>
      <c r="E6" s="40"/>
      <c r="F6" s="40"/>
      <c r="G6" s="40"/>
      <c r="H6" s="41"/>
    </row>
    <row r="7" spans="1:11" x14ac:dyDescent="0.25">
      <c r="A7" s="39" t="s">
        <v>91</v>
      </c>
      <c r="B7" s="40"/>
      <c r="C7" s="40"/>
      <c r="D7" s="40"/>
      <c r="E7" s="40"/>
      <c r="F7" s="40"/>
      <c r="G7" s="40"/>
      <c r="H7" s="41"/>
    </row>
    <row r="8" spans="1:11" x14ac:dyDescent="0.25">
      <c r="A8" s="42" t="s">
        <v>5</v>
      </c>
      <c r="B8" s="43"/>
      <c r="C8" s="43"/>
      <c r="D8" s="43"/>
      <c r="E8" s="43"/>
      <c r="F8" s="43"/>
      <c r="G8" s="43"/>
      <c r="H8" s="44"/>
    </row>
    <row r="9" spans="1:11" x14ac:dyDescent="0.25">
      <c r="A9" s="45" t="s">
        <v>6</v>
      </c>
      <c r="B9" s="45"/>
      <c r="C9" s="45" t="s">
        <v>7</v>
      </c>
      <c r="D9" s="45"/>
      <c r="E9" s="45"/>
      <c r="F9" s="45"/>
      <c r="G9" s="45"/>
      <c r="H9" s="45" t="s">
        <v>8</v>
      </c>
    </row>
    <row r="10" spans="1:11" ht="18" x14ac:dyDescent="0.25">
      <c r="A10" s="45"/>
      <c r="B10" s="45"/>
      <c r="C10" s="17" t="s">
        <v>9</v>
      </c>
      <c r="D10" s="1" t="s">
        <v>10</v>
      </c>
      <c r="E10" s="17" t="s">
        <v>11</v>
      </c>
      <c r="F10" s="17" t="s">
        <v>12</v>
      </c>
      <c r="G10" s="17" t="s">
        <v>13</v>
      </c>
      <c r="H10" s="45"/>
    </row>
    <row r="11" spans="1:11" x14ac:dyDescent="0.25">
      <c r="A11" s="46" t="s">
        <v>14</v>
      </c>
      <c r="B11" s="47"/>
      <c r="C11" s="13">
        <f>+C12+C21+C31+C41+C51+C61+C65+C74+C78</f>
        <v>135153900.139</v>
      </c>
      <c r="D11" s="13">
        <f t="shared" ref="D11:H11" si="0">+D12+D21+D31+D41+D51+D61+D65+D74+D78</f>
        <v>2236609.4734600019</v>
      </c>
      <c r="E11" s="13">
        <f t="shared" si="0"/>
        <v>137390509.61246002</v>
      </c>
      <c r="F11" s="13">
        <f>+F12+F21+F31+F41+F51+F61+F65+F74+F78</f>
        <v>143165171.29143</v>
      </c>
      <c r="G11" s="13">
        <f t="shared" si="0"/>
        <v>140698595.09050998</v>
      </c>
      <c r="H11" s="13">
        <f t="shared" si="0"/>
        <v>-5774661.6789700035</v>
      </c>
      <c r="J11" s="14"/>
      <c r="K11" s="14"/>
    </row>
    <row r="12" spans="1:11" x14ac:dyDescent="0.25">
      <c r="A12" s="32" t="s">
        <v>15</v>
      </c>
      <c r="B12" s="33"/>
      <c r="C12" s="10">
        <f>SUM(C13:C20)</f>
        <v>43180457.199999996</v>
      </c>
      <c r="D12" s="10">
        <f t="shared" ref="D12" si="1">SUM(D13:D20)</f>
        <v>-2633735.4591199998</v>
      </c>
      <c r="E12" s="10">
        <f>SUM(E13:E20)</f>
        <v>40546721.740879998</v>
      </c>
      <c r="F12" s="10">
        <f>SUM(F13:F20)</f>
        <v>42352352.021339998</v>
      </c>
      <c r="G12" s="10">
        <f>SUM(G13:G20)</f>
        <v>42352352.021339998</v>
      </c>
      <c r="H12" s="10">
        <f>+E12-F12</f>
        <v>-1805630.28046</v>
      </c>
      <c r="I12" s="14"/>
    </row>
    <row r="13" spans="1:11" x14ac:dyDescent="0.25">
      <c r="A13" s="15"/>
      <c r="B13" s="16" t="s">
        <v>16</v>
      </c>
      <c r="C13" s="8">
        <f>22273722.02651-C91</f>
        <v>11669771.02651</v>
      </c>
      <c r="D13" s="10">
        <v>-965813.39118999976</v>
      </c>
      <c r="E13" s="10">
        <f>+C13+D13</f>
        <v>10703957.63532</v>
      </c>
      <c r="F13" s="10">
        <f>22221513.27309-10603951</f>
        <v>11617562.273090001</v>
      </c>
      <c r="G13" s="10">
        <f>22221513.27309-10603951</f>
        <v>11617562.273090001</v>
      </c>
      <c r="H13" s="10">
        <f t="shared" ref="H13:H20" si="2">+E13-F13</f>
        <v>-913604.63777000085</v>
      </c>
    </row>
    <row r="14" spans="1:11" x14ac:dyDescent="0.25">
      <c r="A14" s="15"/>
      <c r="B14" s="16" t="s">
        <v>17</v>
      </c>
      <c r="C14" s="8">
        <v>449007.98551000003</v>
      </c>
      <c r="D14" s="10">
        <v>-79935.426779999994</v>
      </c>
      <c r="E14" s="10">
        <f t="shared" ref="E14:E20" si="3">+C14+D14</f>
        <v>369072.55873000005</v>
      </c>
      <c r="F14" s="10">
        <v>344809.43033000006</v>
      </c>
      <c r="G14" s="10">
        <v>344809.43033000006</v>
      </c>
      <c r="H14" s="10">
        <f t="shared" si="2"/>
        <v>24263.128399999987</v>
      </c>
      <c r="J14" s="14"/>
    </row>
    <row r="15" spans="1:11" x14ac:dyDescent="0.25">
      <c r="A15" s="15"/>
      <c r="B15" s="16" t="s">
        <v>18</v>
      </c>
      <c r="C15" s="8">
        <f>17009058.96781-C93</f>
        <v>16972845.16781</v>
      </c>
      <c r="D15" s="10">
        <v>-996961.97511000012</v>
      </c>
      <c r="E15" s="10">
        <f t="shared" si="3"/>
        <v>15975883.1927</v>
      </c>
      <c r="F15" s="10">
        <f>16300897.77361-36213.8</f>
        <v>16264683.973609999</v>
      </c>
      <c r="G15" s="10">
        <f>16300897.77361-36213.8</f>
        <v>16264683.973609999</v>
      </c>
      <c r="H15" s="10">
        <f t="shared" si="2"/>
        <v>-288800.78090999834</v>
      </c>
    </row>
    <row r="16" spans="1:11" x14ac:dyDescent="0.25">
      <c r="A16" s="15"/>
      <c r="B16" s="16" t="s">
        <v>19</v>
      </c>
      <c r="C16" s="8">
        <f>5758146.94806-C94</f>
        <v>5739441.8480600007</v>
      </c>
      <c r="D16" s="10">
        <v>-448230.39566000004</v>
      </c>
      <c r="E16" s="10">
        <f t="shared" si="3"/>
        <v>5291211.4524000008</v>
      </c>
      <c r="F16" s="10">
        <f>6392393.03038-18705.1</f>
        <v>6373687.9303800007</v>
      </c>
      <c r="G16" s="10">
        <f>6392393.03038-18705.1</f>
        <v>6373687.9303800007</v>
      </c>
      <c r="H16" s="10">
        <f t="shared" si="2"/>
        <v>-1082476.47798</v>
      </c>
    </row>
    <row r="17" spans="1:10" x14ac:dyDescent="0.25">
      <c r="A17" s="15"/>
      <c r="B17" s="16" t="s">
        <v>20</v>
      </c>
      <c r="C17" s="8">
        <f>8121123.13643-C95</f>
        <v>8101736.8364300001</v>
      </c>
      <c r="D17" s="10">
        <v>-128280.56690000002</v>
      </c>
      <c r="E17" s="10">
        <f t="shared" si="3"/>
        <v>7973456.2695300002</v>
      </c>
      <c r="F17" s="10">
        <f>7488075.09625-19386.3</f>
        <v>7468688.7962500006</v>
      </c>
      <c r="G17" s="10">
        <f>7488075.09625-19386.3</f>
        <v>7468688.7962500006</v>
      </c>
      <c r="H17" s="10">
        <f t="shared" si="2"/>
        <v>504767.47327999957</v>
      </c>
    </row>
    <row r="18" spans="1:10" x14ac:dyDescent="0.25">
      <c r="A18" s="15"/>
      <c r="B18" s="16" t="s">
        <v>21</v>
      </c>
      <c r="C18" s="8">
        <v>434.93700000000001</v>
      </c>
      <c r="D18" s="10">
        <v>-101.11499999999999</v>
      </c>
      <c r="E18" s="10">
        <f t="shared" si="3"/>
        <v>333.822</v>
      </c>
      <c r="F18" s="10">
        <v>0</v>
      </c>
      <c r="G18" s="10">
        <v>0</v>
      </c>
      <c r="H18" s="10">
        <f t="shared" si="2"/>
        <v>333.822</v>
      </c>
    </row>
    <row r="19" spans="1:10" x14ac:dyDescent="0.25">
      <c r="A19" s="15"/>
      <c r="B19" s="16" t="s">
        <v>22</v>
      </c>
      <c r="C19" s="10">
        <v>247219.39868000004</v>
      </c>
      <c r="D19" s="10">
        <v>-14412.588480000004</v>
      </c>
      <c r="E19" s="10">
        <f t="shared" si="3"/>
        <v>232806.81020000004</v>
      </c>
      <c r="F19" s="10">
        <v>282919.61768000002</v>
      </c>
      <c r="G19" s="10">
        <v>282919.61768000002</v>
      </c>
      <c r="H19" s="10">
        <f t="shared" si="2"/>
        <v>-50112.807479999989</v>
      </c>
    </row>
    <row r="20" spans="1:10" x14ac:dyDescent="0.25">
      <c r="A20" s="15"/>
      <c r="B20" s="16" t="s">
        <v>23</v>
      </c>
      <c r="C20" s="19">
        <v>0</v>
      </c>
      <c r="D20" s="19">
        <v>0</v>
      </c>
      <c r="E20" s="10">
        <f t="shared" si="3"/>
        <v>0</v>
      </c>
      <c r="F20" s="19">
        <v>0</v>
      </c>
      <c r="G20" s="19">
        <v>0</v>
      </c>
      <c r="H20" s="10">
        <f t="shared" si="2"/>
        <v>0</v>
      </c>
    </row>
    <row r="21" spans="1:10" x14ac:dyDescent="0.25">
      <c r="A21" s="32" t="s">
        <v>24</v>
      </c>
      <c r="B21" s="33"/>
      <c r="C21" s="10">
        <f>SUM(C22:C30)</f>
        <v>1588228.2720000003</v>
      </c>
      <c r="D21" s="10">
        <f t="shared" ref="D21" si="4">SUM(D22:D30)</f>
        <v>-38824.613389999991</v>
      </c>
      <c r="E21" s="10">
        <f>SUM(E22:E30)</f>
        <v>1549403.65861</v>
      </c>
      <c r="F21" s="10">
        <f>SUM(F22:F30)</f>
        <v>1271834.7198399999</v>
      </c>
      <c r="G21" s="10">
        <f>SUM(G22:G30)</f>
        <v>1196492.8971200001</v>
      </c>
      <c r="H21" s="10">
        <f>SUM(H22:H30)</f>
        <v>277568.93877000007</v>
      </c>
    </row>
    <row r="22" spans="1:10" x14ac:dyDescent="0.25">
      <c r="A22" s="15"/>
      <c r="B22" s="16" t="s">
        <v>25</v>
      </c>
      <c r="C22" s="10">
        <f>244442.26125-C99</f>
        <v>237051.46125000002</v>
      </c>
      <c r="D22" s="10">
        <v>21830.688930000008</v>
      </c>
      <c r="E22" s="10">
        <f t="shared" ref="E22:E30" si="5">+C22+D22</f>
        <v>258882.15018000003</v>
      </c>
      <c r="F22" s="10">
        <f>166869.17163-7390.8</f>
        <v>159478.37163000001</v>
      </c>
      <c r="G22" s="10">
        <f>154861.13093-7390.8+3</f>
        <v>147473.33093000003</v>
      </c>
      <c r="H22" s="10">
        <f t="shared" ref="H22:H30" si="6">+E22-F22</f>
        <v>99403.778550000017</v>
      </c>
    </row>
    <row r="23" spans="1:10" x14ac:dyDescent="0.25">
      <c r="A23" s="15"/>
      <c r="B23" s="16" t="s">
        <v>26</v>
      </c>
      <c r="C23" s="10">
        <f>762804.53503-C100</f>
        <v>749449.83503000007</v>
      </c>
      <c r="D23" s="10">
        <v>12314.758610000006</v>
      </c>
      <c r="E23" s="10">
        <f t="shared" si="5"/>
        <v>761764.59364000009</v>
      </c>
      <c r="F23" s="10">
        <f>679275.85002-13354.7</f>
        <v>665921.15002000006</v>
      </c>
      <c r="G23" s="10">
        <f>659575.01198-13354.7</f>
        <v>646220.31198</v>
      </c>
      <c r="H23" s="10">
        <f t="shared" si="6"/>
        <v>95843.443620000035</v>
      </c>
    </row>
    <row r="24" spans="1:10" x14ac:dyDescent="0.25">
      <c r="A24" s="15"/>
      <c r="B24" s="16" t="s">
        <v>27</v>
      </c>
      <c r="C24" s="10">
        <v>682.54339000000016</v>
      </c>
      <c r="D24" s="10">
        <v>22.419439999999994</v>
      </c>
      <c r="E24" s="10">
        <f t="shared" si="5"/>
        <v>704.96283000000017</v>
      </c>
      <c r="F24" s="10">
        <v>569.1475200000001</v>
      </c>
      <c r="G24" s="10">
        <v>565.87678000000017</v>
      </c>
      <c r="H24" s="10">
        <f t="shared" si="6"/>
        <v>135.81531000000007</v>
      </c>
    </row>
    <row r="25" spans="1:10" x14ac:dyDescent="0.25">
      <c r="A25" s="15"/>
      <c r="B25" s="16" t="s">
        <v>28</v>
      </c>
      <c r="C25" s="10">
        <v>71327.506100000013</v>
      </c>
      <c r="D25" s="10">
        <v>-11834.358380000001</v>
      </c>
      <c r="E25" s="10">
        <f t="shared" si="5"/>
        <v>59493.147720000008</v>
      </c>
      <c r="F25" s="10">
        <v>46724.464439999996</v>
      </c>
      <c r="G25" s="10">
        <v>30820.411219999998</v>
      </c>
      <c r="H25" s="10">
        <f t="shared" si="6"/>
        <v>12768.683280000012</v>
      </c>
    </row>
    <row r="26" spans="1:10" x14ac:dyDescent="0.25">
      <c r="A26" s="15"/>
      <c r="B26" s="16" t="s">
        <v>29</v>
      </c>
      <c r="C26" s="10">
        <v>27672.011740000005</v>
      </c>
      <c r="D26" s="10">
        <v>-8618.9082400000025</v>
      </c>
      <c r="E26" s="10">
        <f t="shared" si="5"/>
        <v>19053.103500000005</v>
      </c>
      <c r="F26" s="10">
        <v>16088.215840000001</v>
      </c>
      <c r="G26" s="10">
        <v>13085.209959999998</v>
      </c>
      <c r="H26" s="10">
        <f t="shared" si="6"/>
        <v>2964.887660000004</v>
      </c>
    </row>
    <row r="27" spans="1:10" x14ac:dyDescent="0.25">
      <c r="A27" s="15"/>
      <c r="B27" s="16" t="s">
        <v>30</v>
      </c>
      <c r="C27" s="10">
        <v>320707.54056000005</v>
      </c>
      <c r="D27" s="10">
        <v>-34400.542549999998</v>
      </c>
      <c r="E27" s="10">
        <f t="shared" si="5"/>
        <v>286306.99801000004</v>
      </c>
      <c r="F27" s="10">
        <v>243164.40752000001</v>
      </c>
      <c r="G27" s="10">
        <v>240411.36837000001</v>
      </c>
      <c r="H27" s="10">
        <f t="shared" si="6"/>
        <v>43142.590490000031</v>
      </c>
    </row>
    <row r="28" spans="1:10" x14ac:dyDescent="0.25">
      <c r="A28" s="15"/>
      <c r="B28" s="16" t="s">
        <v>31</v>
      </c>
      <c r="C28" s="10">
        <f>136367.61383-C105</f>
        <v>136342.61382999999</v>
      </c>
      <c r="D28" s="10">
        <v>-19107.394700000001</v>
      </c>
      <c r="E28" s="10">
        <f t="shared" si="5"/>
        <v>117235.21912999998</v>
      </c>
      <c r="F28" s="10">
        <f>105781.69488-24.9</f>
        <v>105756.79488</v>
      </c>
      <c r="G28" s="10">
        <f>89556.93584-24.9</f>
        <v>89532.035840000011</v>
      </c>
      <c r="H28" s="10">
        <f t="shared" si="6"/>
        <v>11478.424249999982</v>
      </c>
    </row>
    <row r="29" spans="1:10" x14ac:dyDescent="0.25">
      <c r="A29" s="15"/>
      <c r="B29" s="16" t="s">
        <v>32</v>
      </c>
      <c r="C29" s="10">
        <v>1824.8319800000002</v>
      </c>
      <c r="D29" s="10">
        <v>-1376.33276</v>
      </c>
      <c r="E29" s="10">
        <f t="shared" si="5"/>
        <v>448.49922000000015</v>
      </c>
      <c r="F29" s="10">
        <v>3.1992200000000004</v>
      </c>
      <c r="G29" s="10">
        <v>1.2493800000000002</v>
      </c>
      <c r="H29" s="10">
        <f t="shared" si="6"/>
        <v>445.30000000000013</v>
      </c>
    </row>
    <row r="30" spans="1:10" x14ac:dyDescent="0.25">
      <c r="A30" s="15"/>
      <c r="B30" s="16" t="s">
        <v>33</v>
      </c>
      <c r="C30" s="10">
        <f>43181.12812-C107</f>
        <v>43169.928120000004</v>
      </c>
      <c r="D30" s="10">
        <v>2345.0562599999998</v>
      </c>
      <c r="E30" s="10">
        <f t="shared" si="5"/>
        <v>45514.984380000002</v>
      </c>
      <c r="F30" s="10">
        <f>34140.16877-11.2</f>
        <v>34128.968769999999</v>
      </c>
      <c r="G30" s="10">
        <f>28394.30266-11.2</f>
        <v>28383.10266</v>
      </c>
      <c r="H30" s="10">
        <f t="shared" si="6"/>
        <v>11386.015610000002</v>
      </c>
    </row>
    <row r="31" spans="1:10" x14ac:dyDescent="0.25">
      <c r="A31" s="32" t="s">
        <v>34</v>
      </c>
      <c r="B31" s="33"/>
      <c r="C31" s="10">
        <f t="shared" ref="C31:H31" si="7">SUM(C32:C40)</f>
        <v>5156804.0839999998</v>
      </c>
      <c r="D31" s="10">
        <f t="shared" si="7"/>
        <v>-95747.208170000056</v>
      </c>
      <c r="E31" s="10">
        <f t="shared" si="7"/>
        <v>5061056.8758300003</v>
      </c>
      <c r="F31" s="10">
        <f t="shared" si="7"/>
        <v>5798420.7818999998</v>
      </c>
      <c r="G31" s="10">
        <f t="shared" si="7"/>
        <v>5196566.7261999995</v>
      </c>
      <c r="H31" s="10">
        <f t="shared" si="7"/>
        <v>-737363.90606999968</v>
      </c>
      <c r="J31" s="14"/>
    </row>
    <row r="32" spans="1:10" x14ac:dyDescent="0.25">
      <c r="A32" s="15"/>
      <c r="B32" s="16" t="s">
        <v>35</v>
      </c>
      <c r="C32" s="10">
        <v>663931.10902000009</v>
      </c>
      <c r="D32" s="10">
        <v>-134335.36641999998</v>
      </c>
      <c r="E32" s="10">
        <f t="shared" ref="E32:E40" si="8">+C32+D32</f>
        <v>529595.74260000011</v>
      </c>
      <c r="F32" s="10">
        <v>426987.56335000001</v>
      </c>
      <c r="G32" s="10">
        <v>364588.29188999999</v>
      </c>
      <c r="H32" s="10">
        <f t="shared" ref="H32:H40" si="9">+E32-F32</f>
        <v>102608.1792500001</v>
      </c>
    </row>
    <row r="33" spans="1:10" x14ac:dyDescent="0.25">
      <c r="A33" s="15"/>
      <c r="B33" s="16" t="s">
        <v>36</v>
      </c>
      <c r="C33" s="10">
        <v>366089.3996</v>
      </c>
      <c r="D33" s="10">
        <v>-21581.73089000001</v>
      </c>
      <c r="E33" s="10">
        <f t="shared" si="8"/>
        <v>344507.66871</v>
      </c>
      <c r="F33" s="10">
        <v>304606.49202000001</v>
      </c>
      <c r="G33" s="10">
        <v>262968.51355999999</v>
      </c>
      <c r="H33" s="10">
        <f t="shared" si="9"/>
        <v>39901.176689999993</v>
      </c>
    </row>
    <row r="34" spans="1:10" x14ac:dyDescent="0.25">
      <c r="A34" s="15"/>
      <c r="B34" s="16" t="s">
        <v>37</v>
      </c>
      <c r="C34" s="10">
        <f>1539188.95642-C111</f>
        <v>1518135.9564199999</v>
      </c>
      <c r="D34" s="10">
        <v>-197002.07294000007</v>
      </c>
      <c r="E34" s="10">
        <f t="shared" si="8"/>
        <v>1321133.8834799998</v>
      </c>
      <c r="F34" s="10">
        <f>1029239.61903-21053</f>
        <v>1008186.6190299999</v>
      </c>
      <c r="G34" s="10">
        <f>859972.81533-21053</f>
        <v>838919.81533000001</v>
      </c>
      <c r="H34" s="10">
        <f t="shared" si="9"/>
        <v>312947.2644499999</v>
      </c>
    </row>
    <row r="35" spans="1:10" x14ac:dyDescent="0.25">
      <c r="A35" s="15"/>
      <c r="B35" s="16" t="s">
        <v>38</v>
      </c>
      <c r="C35" s="10">
        <v>870083.82683999999</v>
      </c>
      <c r="D35" s="10">
        <v>-17198.036410000004</v>
      </c>
      <c r="E35" s="10">
        <f t="shared" si="8"/>
        <v>852885.79042999994</v>
      </c>
      <c r="F35" s="10">
        <v>330566.98165999999</v>
      </c>
      <c r="G35" s="10">
        <v>267623.68621999997</v>
      </c>
      <c r="H35" s="10">
        <f t="shared" si="9"/>
        <v>522318.80876999995</v>
      </c>
    </row>
    <row r="36" spans="1:10" x14ac:dyDescent="0.25">
      <c r="A36" s="15"/>
      <c r="B36" s="16" t="s">
        <v>39</v>
      </c>
      <c r="C36" s="10">
        <v>402602.04157000006</v>
      </c>
      <c r="D36" s="10">
        <v>-39253.443510000005</v>
      </c>
      <c r="E36" s="10">
        <f t="shared" si="8"/>
        <v>363348.59806000005</v>
      </c>
      <c r="F36" s="10">
        <v>484914.06412</v>
      </c>
      <c r="G36" s="10">
        <v>427488.41804000002</v>
      </c>
      <c r="H36" s="10">
        <f t="shared" si="9"/>
        <v>-121565.46605999995</v>
      </c>
    </row>
    <row r="37" spans="1:10" x14ac:dyDescent="0.25">
      <c r="A37" s="15"/>
      <c r="B37" s="16" t="s">
        <v>40</v>
      </c>
      <c r="C37" s="10">
        <v>181138.79352000001</v>
      </c>
      <c r="D37" s="10">
        <v>43875.043380000003</v>
      </c>
      <c r="E37" s="10">
        <f t="shared" si="8"/>
        <v>225013.83689999999</v>
      </c>
      <c r="F37" s="10">
        <v>224161.78129999997</v>
      </c>
      <c r="G37" s="10">
        <v>212403.82381999999</v>
      </c>
      <c r="H37" s="10">
        <f t="shared" si="9"/>
        <v>852.05560000002151</v>
      </c>
    </row>
    <row r="38" spans="1:10" x14ac:dyDescent="0.25">
      <c r="A38" s="15"/>
      <c r="B38" s="16" t="s">
        <v>41</v>
      </c>
      <c r="C38" s="10">
        <f>100516.50341-C115</f>
        <v>99148.603410000011</v>
      </c>
      <c r="D38" s="10">
        <v>-7360.0039899999983</v>
      </c>
      <c r="E38" s="10">
        <f t="shared" si="8"/>
        <v>91788.599420000013</v>
      </c>
      <c r="F38" s="10">
        <f>77581.85013-1040.3</f>
        <v>76541.550130000003</v>
      </c>
      <c r="G38" s="10">
        <f>74148.77497-1040.3</f>
        <v>73108.474969999996</v>
      </c>
      <c r="H38" s="10">
        <f t="shared" si="9"/>
        <v>15247.04929000001</v>
      </c>
    </row>
    <row r="39" spans="1:10" x14ac:dyDescent="0.25">
      <c r="A39" s="15"/>
      <c r="B39" s="16" t="s">
        <v>42</v>
      </c>
      <c r="C39" s="10">
        <f>176963.21099-C116</f>
        <v>135365.71098999999</v>
      </c>
      <c r="D39" s="10">
        <v>281317.77258000005</v>
      </c>
      <c r="E39" s="10">
        <f t="shared" si="8"/>
        <v>416683.48357000004</v>
      </c>
      <c r="F39" s="10">
        <f>346045.0096-41597.5</f>
        <v>304447.50959999999</v>
      </c>
      <c r="G39" s="10">
        <f>250614.32084-41597.5</f>
        <v>209016.82084</v>
      </c>
      <c r="H39" s="10">
        <f t="shared" si="9"/>
        <v>112235.97397000005</v>
      </c>
    </row>
    <row r="40" spans="1:10" x14ac:dyDescent="0.25">
      <c r="A40" s="15"/>
      <c r="B40" s="16" t="s">
        <v>43</v>
      </c>
      <c r="C40" s="10">
        <f>921801.14263-C117</f>
        <v>920308.64263000002</v>
      </c>
      <c r="D40" s="10">
        <v>-4209.3699699999988</v>
      </c>
      <c r="E40" s="10">
        <f t="shared" si="8"/>
        <v>916099.27266000002</v>
      </c>
      <c r="F40" s="10">
        <f>2639500.72069-1492.5</f>
        <v>2638008.2206899999</v>
      </c>
      <c r="G40" s="10">
        <f>2541944.38153-1495.5</f>
        <v>2540448.8815299999</v>
      </c>
      <c r="H40" s="10">
        <f t="shared" si="9"/>
        <v>-1721908.9480299999</v>
      </c>
    </row>
    <row r="41" spans="1:10" x14ac:dyDescent="0.25">
      <c r="A41" s="32" t="s">
        <v>44</v>
      </c>
      <c r="B41" s="33"/>
      <c r="C41" s="10">
        <f t="shared" ref="C41:H41" si="10">SUM(C42:C50)</f>
        <v>32080351.276000001</v>
      </c>
      <c r="D41" s="10">
        <f t="shared" si="10"/>
        <v>4851836.7523200018</v>
      </c>
      <c r="E41" s="10">
        <f t="shared" si="10"/>
        <v>36932188.028320007</v>
      </c>
      <c r="F41" s="10">
        <f t="shared" si="10"/>
        <v>38098784.622550003</v>
      </c>
      <c r="G41" s="10">
        <f t="shared" si="10"/>
        <v>36911254.548650004</v>
      </c>
      <c r="H41" s="10">
        <f t="shared" si="10"/>
        <v>-1166596.5942299992</v>
      </c>
      <c r="J41" s="14"/>
    </row>
    <row r="42" spans="1:10" x14ac:dyDescent="0.25">
      <c r="A42" s="15"/>
      <c r="B42" s="16" t="s">
        <v>45</v>
      </c>
      <c r="C42" s="10">
        <f>10825214.222-C119</f>
        <v>8845828.7219999991</v>
      </c>
      <c r="D42" s="10">
        <v>3134075.9249999998</v>
      </c>
      <c r="E42" s="10">
        <f t="shared" ref="E42:E50" si="11">+C42+D42</f>
        <v>11979904.647</v>
      </c>
      <c r="F42" s="10">
        <f>15345267.75741-1979385.5</f>
        <v>13365882.257409999</v>
      </c>
      <c r="G42" s="10">
        <f>15220286.16916-1979385.5</f>
        <v>13240900.669159999</v>
      </c>
      <c r="H42" s="10">
        <f t="shared" ref="H42:H50" si="12">+E42-F42</f>
        <v>-1385977.6104099993</v>
      </c>
    </row>
    <row r="43" spans="1:10" x14ac:dyDescent="0.25">
      <c r="A43" s="15"/>
      <c r="B43" s="16" t="s">
        <v>46</v>
      </c>
      <c r="C43" s="10">
        <v>220.53</v>
      </c>
      <c r="D43" s="10">
        <v>0</v>
      </c>
      <c r="E43" s="10">
        <f t="shared" si="11"/>
        <v>220.53</v>
      </c>
      <c r="F43" s="10">
        <v>105.267</v>
      </c>
      <c r="G43" s="10">
        <v>105.267</v>
      </c>
      <c r="H43" s="10">
        <f t="shared" si="12"/>
        <v>115.26300000000001</v>
      </c>
    </row>
    <row r="44" spans="1:10" x14ac:dyDescent="0.25">
      <c r="A44" s="15"/>
      <c r="B44" s="16" t="s">
        <v>47</v>
      </c>
      <c r="C44" s="10">
        <v>5569324.2084999997</v>
      </c>
      <c r="D44" s="10">
        <v>18146.829650000036</v>
      </c>
      <c r="E44" s="10">
        <f t="shared" si="11"/>
        <v>5587471.0381499995</v>
      </c>
      <c r="F44" s="10">
        <v>5136330.8841700014</v>
      </c>
      <c r="G44" s="10">
        <v>5128866.9231700012</v>
      </c>
      <c r="H44" s="10">
        <f t="shared" si="12"/>
        <v>451140.15397999808</v>
      </c>
    </row>
    <row r="45" spans="1:10" x14ac:dyDescent="0.25">
      <c r="A45" s="15"/>
      <c r="B45" s="16" t="s">
        <v>48</v>
      </c>
      <c r="C45" s="10">
        <f>2078640.43502-C122</f>
        <v>1179185.43502</v>
      </c>
      <c r="D45" s="10">
        <v>1037911.4983300001</v>
      </c>
      <c r="E45" s="10">
        <f t="shared" si="11"/>
        <v>2217096.9333500001</v>
      </c>
      <c r="F45" s="10">
        <f>2632590.17614-899455</f>
        <v>1733135.1761400001</v>
      </c>
      <c r="G45" s="10">
        <f>2603710.76798-899455</f>
        <v>1704255.76798</v>
      </c>
      <c r="H45" s="10">
        <f t="shared" si="12"/>
        <v>483961.75720999995</v>
      </c>
    </row>
    <row r="46" spans="1:10" x14ac:dyDescent="0.25">
      <c r="A46" s="15"/>
      <c r="B46" s="16" t="s">
        <v>49</v>
      </c>
      <c r="C46" s="10">
        <v>30363.593000000001</v>
      </c>
      <c r="D46" s="10">
        <v>0</v>
      </c>
      <c r="E46" s="10">
        <f t="shared" si="11"/>
        <v>30363.593000000001</v>
      </c>
      <c r="F46" s="10">
        <v>26982.384200000004</v>
      </c>
      <c r="G46" s="10">
        <v>23559.92698</v>
      </c>
      <c r="H46" s="10">
        <f t="shared" si="12"/>
        <v>3381.2087999999967</v>
      </c>
    </row>
    <row r="47" spans="1:10" x14ac:dyDescent="0.25">
      <c r="A47" s="15"/>
      <c r="B47" s="16" t="s">
        <v>50</v>
      </c>
      <c r="C47" s="10">
        <f>67918725.249-C124</f>
        <v>16268651.649000004</v>
      </c>
      <c r="D47" s="10">
        <v>461252.02348000143</v>
      </c>
      <c r="E47" s="10">
        <f t="shared" si="11"/>
        <v>16729903.672480006</v>
      </c>
      <c r="F47" s="10">
        <f>69143990.89696-51650073.6</f>
        <v>17493917.296960004</v>
      </c>
      <c r="G47" s="10">
        <f>68172414.29277-51650073.6</f>
        <v>16522340.692769997</v>
      </c>
      <c r="H47" s="10">
        <f t="shared" si="12"/>
        <v>-764013.6244799979</v>
      </c>
    </row>
    <row r="48" spans="1:10" x14ac:dyDescent="0.25">
      <c r="A48" s="15"/>
      <c r="B48" s="16" t="s">
        <v>51</v>
      </c>
      <c r="C48" s="19">
        <v>0</v>
      </c>
      <c r="D48" s="19">
        <v>0</v>
      </c>
      <c r="E48" s="10">
        <f t="shared" si="11"/>
        <v>0</v>
      </c>
      <c r="F48" s="19">
        <v>0</v>
      </c>
      <c r="G48" s="19">
        <v>0</v>
      </c>
      <c r="H48" s="10">
        <f t="shared" si="12"/>
        <v>0</v>
      </c>
    </row>
    <row r="49" spans="1:10" x14ac:dyDescent="0.25">
      <c r="A49" s="15"/>
      <c r="B49" s="16" t="s">
        <v>52</v>
      </c>
      <c r="C49" s="19">
        <v>184676.94123000003</v>
      </c>
      <c r="D49" s="19">
        <v>200450.47586000001</v>
      </c>
      <c r="E49" s="10">
        <f t="shared" si="11"/>
        <v>385127.41709</v>
      </c>
      <c r="F49" s="19">
        <v>340331.15942000004</v>
      </c>
      <c r="G49" s="19">
        <v>289125.10434000002</v>
      </c>
      <c r="H49" s="10">
        <f t="shared" si="12"/>
        <v>44796.257669999963</v>
      </c>
    </row>
    <row r="50" spans="1:10" x14ac:dyDescent="0.25">
      <c r="A50" s="15"/>
      <c r="B50" s="16" t="s">
        <v>53</v>
      </c>
      <c r="C50" s="19">
        <v>2100.1972500000002</v>
      </c>
      <c r="D50" s="19">
        <v>0</v>
      </c>
      <c r="E50" s="10">
        <f t="shared" si="11"/>
        <v>2100.1972500000002</v>
      </c>
      <c r="F50" s="19">
        <v>2100.1972500000002</v>
      </c>
      <c r="G50" s="19">
        <v>2100.1972500000002</v>
      </c>
      <c r="H50" s="10">
        <f t="shared" si="12"/>
        <v>0</v>
      </c>
    </row>
    <row r="51" spans="1:10" x14ac:dyDescent="0.25">
      <c r="A51" s="32" t="s">
        <v>54</v>
      </c>
      <c r="B51" s="33"/>
      <c r="C51" s="10">
        <f t="shared" ref="C51:H51" si="13">SUM(C52:C60)</f>
        <v>71415.347000000009</v>
      </c>
      <c r="D51" s="10">
        <f t="shared" si="13"/>
        <v>262344.38481999998</v>
      </c>
      <c r="E51" s="10">
        <f t="shared" si="13"/>
        <v>333759.73181999999</v>
      </c>
      <c r="F51" s="10">
        <f t="shared" si="13"/>
        <v>287561.32331000001</v>
      </c>
      <c r="G51" s="10">
        <f t="shared" si="13"/>
        <v>283114.09177</v>
      </c>
      <c r="H51" s="10">
        <f t="shared" si="13"/>
        <v>46198.408510000023</v>
      </c>
    </row>
    <row r="52" spans="1:10" x14ac:dyDescent="0.25">
      <c r="A52" s="15"/>
      <c r="B52" s="16" t="s">
        <v>55</v>
      </c>
      <c r="C52" s="10">
        <f>89850.53977-C129</f>
        <v>59771.439770000005</v>
      </c>
      <c r="D52" s="10">
        <v>204280.21470000001</v>
      </c>
      <c r="E52" s="10">
        <f t="shared" ref="E52:E60" si="14">+C52+D52</f>
        <v>264051.65447000001</v>
      </c>
      <c r="F52" s="10">
        <f>254174.4832-29000</f>
        <v>225174.48319999999</v>
      </c>
      <c r="G52" s="10">
        <f>250811.96109-29000</f>
        <v>221811.96109</v>
      </c>
      <c r="H52" s="10">
        <f t="shared" ref="H52:H60" si="15">+E52-F52</f>
        <v>38877.171270000021</v>
      </c>
    </row>
    <row r="53" spans="1:10" x14ac:dyDescent="0.25">
      <c r="A53" s="15"/>
      <c r="B53" s="16" t="s">
        <v>56</v>
      </c>
      <c r="C53" s="10">
        <v>52.868400000000001</v>
      </c>
      <c r="D53" s="10">
        <v>2106.5461300000002</v>
      </c>
      <c r="E53" s="10">
        <f t="shared" si="14"/>
        <v>2159.41453</v>
      </c>
      <c r="F53" s="10">
        <v>108.20839000000001</v>
      </c>
      <c r="G53" s="10">
        <v>108.20839000000001</v>
      </c>
      <c r="H53" s="10">
        <f t="shared" si="15"/>
        <v>2051.2061400000002</v>
      </c>
    </row>
    <row r="54" spans="1:10" x14ac:dyDescent="0.25">
      <c r="A54" s="15"/>
      <c r="B54" s="16" t="s">
        <v>57</v>
      </c>
      <c r="C54" s="19">
        <v>0</v>
      </c>
      <c r="D54" s="19">
        <v>0</v>
      </c>
      <c r="E54" s="10">
        <f t="shared" si="14"/>
        <v>0</v>
      </c>
      <c r="F54" s="19">
        <v>0</v>
      </c>
      <c r="G54" s="19">
        <v>0</v>
      </c>
      <c r="H54" s="10">
        <f t="shared" si="15"/>
        <v>0</v>
      </c>
    </row>
    <row r="55" spans="1:10" x14ac:dyDescent="0.25">
      <c r="A55" s="15"/>
      <c r="B55" s="16" t="s">
        <v>58</v>
      </c>
      <c r="C55" s="10">
        <v>-2334.64147</v>
      </c>
      <c r="D55" s="10">
        <v>11649.926990000002</v>
      </c>
      <c r="E55" s="10">
        <f t="shared" si="14"/>
        <v>9315.2855200000013</v>
      </c>
      <c r="F55" s="10">
        <v>5081.1809899999998</v>
      </c>
      <c r="G55" s="10">
        <v>4504.1809999999996</v>
      </c>
      <c r="H55" s="10">
        <f t="shared" si="15"/>
        <v>4234.1045300000014</v>
      </c>
    </row>
    <row r="56" spans="1:10" x14ac:dyDescent="0.25">
      <c r="A56" s="15"/>
      <c r="B56" s="16" t="s">
        <v>59</v>
      </c>
      <c r="C56" s="10">
        <v>0</v>
      </c>
      <c r="D56" s="19">
        <v>0</v>
      </c>
      <c r="E56" s="10">
        <f t="shared" si="14"/>
        <v>0</v>
      </c>
      <c r="F56" s="10">
        <v>0</v>
      </c>
      <c r="G56" s="10">
        <v>0</v>
      </c>
      <c r="H56" s="10">
        <f t="shared" si="15"/>
        <v>0</v>
      </c>
    </row>
    <row r="57" spans="1:10" x14ac:dyDescent="0.25">
      <c r="A57" s="15"/>
      <c r="B57" s="16" t="s">
        <v>60</v>
      </c>
      <c r="C57" s="10">
        <v>338.59160000000003</v>
      </c>
      <c r="D57" s="10">
        <v>1676</v>
      </c>
      <c r="E57" s="10">
        <f t="shared" si="14"/>
        <v>2014.5916</v>
      </c>
      <c r="F57" s="19">
        <v>1267.18625</v>
      </c>
      <c r="G57" s="19">
        <v>878.22185000000002</v>
      </c>
      <c r="H57" s="10">
        <f t="shared" si="15"/>
        <v>747.40535</v>
      </c>
    </row>
    <row r="58" spans="1:10" x14ac:dyDescent="0.25">
      <c r="A58" s="15"/>
      <c r="B58" s="16" t="s">
        <v>61</v>
      </c>
      <c r="C58" s="10">
        <v>0</v>
      </c>
      <c r="D58" s="19">
        <v>0</v>
      </c>
      <c r="E58" s="10">
        <f t="shared" si="14"/>
        <v>0</v>
      </c>
      <c r="F58" s="19">
        <v>0</v>
      </c>
      <c r="G58" s="19">
        <v>0</v>
      </c>
      <c r="H58" s="10">
        <f t="shared" si="15"/>
        <v>0</v>
      </c>
    </row>
    <row r="59" spans="1:10" x14ac:dyDescent="0.25">
      <c r="A59" s="15"/>
      <c r="B59" s="16" t="s">
        <v>62</v>
      </c>
      <c r="C59" s="19">
        <v>0</v>
      </c>
      <c r="D59" s="10">
        <v>42432.2</v>
      </c>
      <c r="E59" s="10">
        <f t="shared" si="14"/>
        <v>42432.2</v>
      </c>
      <c r="F59" s="10">
        <v>42432.2</v>
      </c>
      <c r="G59" s="10">
        <v>42432.2</v>
      </c>
      <c r="H59" s="10">
        <f t="shared" si="15"/>
        <v>0</v>
      </c>
    </row>
    <row r="60" spans="1:10" x14ac:dyDescent="0.25">
      <c r="A60" s="15"/>
      <c r="B60" s="16" t="s">
        <v>63</v>
      </c>
      <c r="C60" s="19">
        <v>13587.0887</v>
      </c>
      <c r="D60" s="10">
        <v>199.49700000000001</v>
      </c>
      <c r="E60" s="10">
        <f t="shared" si="14"/>
        <v>13786.5857</v>
      </c>
      <c r="F60" s="10">
        <v>13498.064480000001</v>
      </c>
      <c r="G60" s="10">
        <v>13379.319440000001</v>
      </c>
      <c r="H60" s="10">
        <f t="shared" si="15"/>
        <v>288.52121999999872</v>
      </c>
    </row>
    <row r="61" spans="1:10" x14ac:dyDescent="0.25">
      <c r="A61" s="32" t="s">
        <v>64</v>
      </c>
      <c r="B61" s="33"/>
      <c r="C61" s="10">
        <f t="shared" ref="C61:H61" si="16">SUM(C62:C64)</f>
        <v>22108380.408999998</v>
      </c>
      <c r="D61" s="10">
        <f t="shared" si="16"/>
        <v>0</v>
      </c>
      <c r="E61" s="10">
        <f t="shared" si="16"/>
        <v>22108380.408999998</v>
      </c>
      <c r="F61" s="10">
        <f t="shared" si="16"/>
        <v>24278567.781789999</v>
      </c>
      <c r="G61" s="10">
        <f t="shared" si="16"/>
        <v>23681164.764730003</v>
      </c>
      <c r="H61" s="10">
        <f t="shared" si="16"/>
        <v>-2170187.3727900046</v>
      </c>
      <c r="J61" s="14"/>
    </row>
    <row r="62" spans="1:10" x14ac:dyDescent="0.25">
      <c r="A62" s="15"/>
      <c r="B62" s="16" t="s">
        <v>65</v>
      </c>
      <c r="C62" s="10">
        <f>24137295.981-C139</f>
        <v>18901848.880999997</v>
      </c>
      <c r="D62" s="10">
        <v>0</v>
      </c>
      <c r="E62" s="10">
        <f t="shared" ref="E62:E64" si="17">+C62+D62</f>
        <v>18901848.880999997</v>
      </c>
      <c r="F62" s="10">
        <f>30550839.778-9375826.2-921571.2</f>
        <v>20253442.378000002</v>
      </c>
      <c r="G62" s="10">
        <f>30107621.60088-9375826.2-921571.2</f>
        <v>19810224.200880002</v>
      </c>
      <c r="H62" s="10">
        <f t="shared" ref="H62:H64" si="18">+E62-F62</f>
        <v>-1351593.4970000051</v>
      </c>
    </row>
    <row r="63" spans="1:10" x14ac:dyDescent="0.25">
      <c r="A63" s="15"/>
      <c r="B63" s="16" t="s">
        <v>66</v>
      </c>
      <c r="C63" s="10">
        <f>859941.746-C140</f>
        <v>349741.14600000007</v>
      </c>
      <c r="D63" s="10">
        <v>0</v>
      </c>
      <c r="E63" s="10">
        <f t="shared" si="17"/>
        <v>349741.14600000007</v>
      </c>
      <c r="F63" s="10">
        <f>1463827.68456-496175.9</f>
        <v>967651.78455999994</v>
      </c>
      <c r="G63" s="10">
        <f>1387330.20629-496175.9</f>
        <v>891154.30628999986</v>
      </c>
      <c r="H63" s="10">
        <f t="shared" si="18"/>
        <v>-617910.63855999988</v>
      </c>
    </row>
    <row r="64" spans="1:10" x14ac:dyDescent="0.25">
      <c r="A64" s="15"/>
      <c r="B64" s="16" t="s">
        <v>67</v>
      </c>
      <c r="C64" s="10">
        <f>2870835.782-C141</f>
        <v>2856790.3820000002</v>
      </c>
      <c r="D64" s="10">
        <v>0</v>
      </c>
      <c r="E64" s="10">
        <f t="shared" si="17"/>
        <v>2856790.3820000002</v>
      </c>
      <c r="F64" s="10">
        <f>3428321.31923-370847.7</f>
        <v>3057473.6192299998</v>
      </c>
      <c r="G64" s="10">
        <f>3350633.95756-370847.7</f>
        <v>2979786.2575599998</v>
      </c>
      <c r="H64" s="10">
        <f t="shared" si="18"/>
        <v>-200683.23722999962</v>
      </c>
    </row>
    <row r="65" spans="1:15" x14ac:dyDescent="0.25">
      <c r="A65" s="32" t="s">
        <v>68</v>
      </c>
      <c r="B65" s="33"/>
      <c r="C65" s="10">
        <f t="shared" ref="C65:H65" si="19">SUM(C66:C73)</f>
        <v>1434450.642</v>
      </c>
      <c r="D65" s="10">
        <f t="shared" si="19"/>
        <v>-109264.383</v>
      </c>
      <c r="E65" s="10">
        <f t="shared" si="19"/>
        <v>1325186.2590000001</v>
      </c>
      <c r="F65" s="10">
        <f t="shared" si="19"/>
        <v>3095630.7409000001</v>
      </c>
      <c r="G65" s="10">
        <f t="shared" si="19"/>
        <v>3095630.7409000001</v>
      </c>
      <c r="H65" s="10">
        <f t="shared" si="19"/>
        <v>-1770444.4819</v>
      </c>
    </row>
    <row r="66" spans="1:15" x14ac:dyDescent="0.25">
      <c r="A66" s="15"/>
      <c r="B66" s="16" t="s">
        <v>69</v>
      </c>
      <c r="C66" s="19">
        <v>0</v>
      </c>
      <c r="D66" s="10">
        <v>0</v>
      </c>
      <c r="E66" s="10">
        <f t="shared" ref="E66:E73" si="20">+C66+D66</f>
        <v>0</v>
      </c>
      <c r="F66" s="19">
        <v>0</v>
      </c>
      <c r="G66" s="19">
        <v>0</v>
      </c>
      <c r="H66" s="10">
        <f t="shared" ref="H66:H73" si="21">+E66-F66</f>
        <v>0</v>
      </c>
    </row>
    <row r="67" spans="1:15" x14ac:dyDescent="0.25">
      <c r="A67" s="15"/>
      <c r="B67" s="16" t="s">
        <v>70</v>
      </c>
      <c r="C67" s="19">
        <v>0</v>
      </c>
      <c r="D67" s="10">
        <v>0</v>
      </c>
      <c r="E67" s="10">
        <f t="shared" si="20"/>
        <v>0</v>
      </c>
      <c r="F67" s="19">
        <v>0</v>
      </c>
      <c r="G67" s="19">
        <v>0</v>
      </c>
      <c r="H67" s="10">
        <f t="shared" si="21"/>
        <v>0</v>
      </c>
    </row>
    <row r="68" spans="1:15" x14ac:dyDescent="0.25">
      <c r="A68" s="15"/>
      <c r="B68" s="16" t="s">
        <v>71</v>
      </c>
      <c r="C68" s="19">
        <v>0</v>
      </c>
      <c r="D68" s="10">
        <v>0</v>
      </c>
      <c r="E68" s="10">
        <f t="shared" si="20"/>
        <v>0</v>
      </c>
      <c r="F68" s="19">
        <v>0</v>
      </c>
      <c r="G68" s="19">
        <v>0</v>
      </c>
      <c r="H68" s="10">
        <f t="shared" si="21"/>
        <v>0</v>
      </c>
    </row>
    <row r="69" spans="1:15" x14ac:dyDescent="0.25">
      <c r="A69" s="15"/>
      <c r="B69" s="16" t="s">
        <v>72</v>
      </c>
      <c r="C69" s="19">
        <v>0</v>
      </c>
      <c r="D69" s="10">
        <v>0</v>
      </c>
      <c r="E69" s="10">
        <f t="shared" si="20"/>
        <v>0</v>
      </c>
      <c r="F69" s="19">
        <v>0</v>
      </c>
      <c r="G69" s="19">
        <v>0</v>
      </c>
      <c r="H69" s="10">
        <f t="shared" si="21"/>
        <v>0</v>
      </c>
    </row>
    <row r="70" spans="1:15" x14ac:dyDescent="0.25">
      <c r="A70" s="15"/>
      <c r="B70" s="16" t="s">
        <v>73</v>
      </c>
      <c r="C70" s="10">
        <v>1434450.642</v>
      </c>
      <c r="D70" s="10">
        <v>-109264.383</v>
      </c>
      <c r="E70" s="10">
        <f t="shared" si="20"/>
        <v>1325186.2590000001</v>
      </c>
      <c r="F70" s="10">
        <v>3095630.7409000001</v>
      </c>
      <c r="G70" s="10">
        <v>3095630.7409000001</v>
      </c>
      <c r="H70" s="10">
        <f t="shared" si="21"/>
        <v>-1770444.4819</v>
      </c>
    </row>
    <row r="71" spans="1:15" x14ac:dyDescent="0.25">
      <c r="A71" s="15"/>
      <c r="B71" s="16" t="s">
        <v>74</v>
      </c>
      <c r="C71" s="19">
        <v>0</v>
      </c>
      <c r="D71" s="10">
        <v>0</v>
      </c>
      <c r="E71" s="10">
        <f t="shared" si="20"/>
        <v>0</v>
      </c>
      <c r="F71" s="19">
        <v>0</v>
      </c>
      <c r="G71" s="19">
        <v>0</v>
      </c>
      <c r="H71" s="10">
        <f t="shared" si="21"/>
        <v>0</v>
      </c>
    </row>
    <row r="72" spans="1:15" x14ac:dyDescent="0.25">
      <c r="A72" s="15"/>
      <c r="B72" s="16" t="s">
        <v>75</v>
      </c>
      <c r="C72" s="19">
        <v>0</v>
      </c>
      <c r="D72" s="10">
        <v>0</v>
      </c>
      <c r="E72" s="10">
        <f t="shared" si="20"/>
        <v>0</v>
      </c>
      <c r="F72" s="19">
        <v>0</v>
      </c>
      <c r="G72" s="19">
        <v>0</v>
      </c>
      <c r="H72" s="10">
        <f t="shared" si="21"/>
        <v>0</v>
      </c>
    </row>
    <row r="73" spans="1:15" x14ac:dyDescent="0.25">
      <c r="A73" s="15"/>
      <c r="B73" s="16" t="s">
        <v>76</v>
      </c>
      <c r="C73" s="19">
        <v>0</v>
      </c>
      <c r="D73" s="10">
        <v>0</v>
      </c>
      <c r="E73" s="10">
        <f t="shared" si="20"/>
        <v>0</v>
      </c>
      <c r="F73" s="19">
        <v>0</v>
      </c>
      <c r="G73" s="19">
        <v>0</v>
      </c>
      <c r="H73" s="10">
        <f t="shared" si="21"/>
        <v>0</v>
      </c>
    </row>
    <row r="74" spans="1:15" x14ac:dyDescent="0.25">
      <c r="A74" s="32" t="s">
        <v>77</v>
      </c>
      <c r="B74" s="33"/>
      <c r="C74" s="10">
        <f t="shared" ref="C74:H74" si="22">SUM(C75:C77)</f>
        <v>21808320.809</v>
      </c>
      <c r="D74" s="10">
        <f t="shared" si="22"/>
        <v>0</v>
      </c>
      <c r="E74" s="10">
        <f t="shared" si="22"/>
        <v>21808320.809</v>
      </c>
      <c r="F74" s="10">
        <f t="shared" si="22"/>
        <v>24472739.774920005</v>
      </c>
      <c r="G74" s="10">
        <f t="shared" si="22"/>
        <v>24472739.774920005</v>
      </c>
      <c r="H74" s="10">
        <f t="shared" si="22"/>
        <v>-2664418.9659200003</v>
      </c>
      <c r="J74" s="14"/>
    </row>
    <row r="75" spans="1:15" x14ac:dyDescent="0.25">
      <c r="A75" s="15"/>
      <c r="B75" s="16" t="s">
        <v>78</v>
      </c>
      <c r="C75" s="10">
        <f>22457020.463-C154</f>
        <v>21801445.563000001</v>
      </c>
      <c r="D75" s="10">
        <v>0</v>
      </c>
      <c r="E75" s="10">
        <f t="shared" ref="E75:E77" si="23">+C75+D75</f>
        <v>21801445.563000001</v>
      </c>
      <c r="F75" s="10">
        <v>24470757.308710001</v>
      </c>
      <c r="G75" s="10">
        <v>24470757.308710001</v>
      </c>
      <c r="H75" s="10">
        <f t="shared" ref="H75:H77" si="24">+E75-F75</f>
        <v>-2669311.7457100004</v>
      </c>
    </row>
    <row r="76" spans="1:15" x14ac:dyDescent="0.25">
      <c r="A76" s="15"/>
      <c r="B76" s="16" t="s">
        <v>79</v>
      </c>
      <c r="C76" s="10">
        <f>13485089.346-C153</f>
        <v>6875.246000001207</v>
      </c>
      <c r="D76" s="10">
        <v>0</v>
      </c>
      <c r="E76" s="10">
        <f t="shared" si="23"/>
        <v>6875.246000001207</v>
      </c>
      <c r="F76" s="10">
        <f>13478214.13935-13478214.1</f>
        <v>3.9350001141428947E-2</v>
      </c>
      <c r="G76" s="10">
        <f>13478214.13935-13478214.1</f>
        <v>3.9350001141428947E-2</v>
      </c>
      <c r="H76" s="10">
        <f t="shared" si="24"/>
        <v>6875.2066500000656</v>
      </c>
    </row>
    <row r="77" spans="1:15" x14ac:dyDescent="0.25">
      <c r="A77" s="15"/>
      <c r="B77" s="16" t="s">
        <v>80</v>
      </c>
      <c r="C77" s="10">
        <v>0</v>
      </c>
      <c r="D77" s="10">
        <v>0</v>
      </c>
      <c r="E77" s="10">
        <f t="shared" si="23"/>
        <v>0</v>
      </c>
      <c r="F77" s="10">
        <f>659995.82686-658013.4</f>
        <v>1982.4268600000069</v>
      </c>
      <c r="G77" s="10">
        <f>659995.82686-658013.4</f>
        <v>1982.4268600000069</v>
      </c>
      <c r="H77" s="10">
        <f t="shared" si="24"/>
        <v>-1982.4268600000069</v>
      </c>
    </row>
    <row r="78" spans="1:15" x14ac:dyDescent="0.25">
      <c r="A78" s="32" t="s">
        <v>81</v>
      </c>
      <c r="B78" s="33"/>
      <c r="C78" s="10">
        <f t="shared" ref="C78:H78" si="25">SUM(C79:C85)</f>
        <v>7725492.0999999996</v>
      </c>
      <c r="D78" s="10">
        <f t="shared" si="25"/>
        <v>0</v>
      </c>
      <c r="E78" s="10">
        <f t="shared" si="25"/>
        <v>7725492.0999999996</v>
      </c>
      <c r="F78" s="10">
        <f t="shared" si="25"/>
        <v>3509279.5248799999</v>
      </c>
      <c r="G78" s="10">
        <f t="shared" si="25"/>
        <v>3509279.5248799999</v>
      </c>
      <c r="H78" s="10">
        <f t="shared" si="25"/>
        <v>4216212.5751200002</v>
      </c>
      <c r="J78" s="29"/>
      <c r="K78" s="29"/>
      <c r="L78" s="29"/>
      <c r="M78" s="29"/>
      <c r="N78" s="29"/>
      <c r="O78" s="29"/>
    </row>
    <row r="79" spans="1:15" x14ac:dyDescent="0.25">
      <c r="A79" s="15"/>
      <c r="B79" s="16" t="s">
        <v>82</v>
      </c>
      <c r="C79" s="10">
        <f>3398000-C156-C160</f>
        <v>2951252.1</v>
      </c>
      <c r="D79" s="10">
        <v>0</v>
      </c>
      <c r="E79" s="10">
        <f t="shared" ref="E79:E85" si="26">+C79+D79</f>
        <v>2951252.1</v>
      </c>
      <c r="F79" s="10">
        <f>988964.21346-861911.5+800270.3</f>
        <v>927323.01346000005</v>
      </c>
      <c r="G79" s="10">
        <f>988964.21346-861911.5+800270.3</f>
        <v>927323.01346000005</v>
      </c>
      <c r="H79" s="10">
        <f t="shared" ref="H79:H85" si="27">+E79-F79</f>
        <v>2023929.08654</v>
      </c>
      <c r="J79" s="18"/>
      <c r="K79" s="18"/>
      <c r="L79" s="18"/>
      <c r="M79" s="18"/>
      <c r="N79" s="18"/>
      <c r="O79" s="18"/>
    </row>
    <row r="80" spans="1:15" x14ac:dyDescent="0.25">
      <c r="A80" s="15"/>
      <c r="B80" s="16" t="s">
        <v>83</v>
      </c>
      <c r="C80" s="10">
        <f>3914000-C157</f>
        <v>2313540</v>
      </c>
      <c r="D80" s="10">
        <v>0</v>
      </c>
      <c r="E80" s="10">
        <f t="shared" si="26"/>
        <v>2313540</v>
      </c>
      <c r="F80" s="10">
        <v>121300.9</v>
      </c>
      <c r="G80" s="10">
        <v>121300.9</v>
      </c>
      <c r="H80" s="10">
        <f t="shared" si="27"/>
        <v>2192239.1</v>
      </c>
      <c r="J80" s="18"/>
      <c r="K80" s="18"/>
      <c r="L80" s="18"/>
      <c r="M80" s="18"/>
      <c r="N80" s="18"/>
      <c r="O80" s="18"/>
    </row>
    <row r="81" spans="1:15" x14ac:dyDescent="0.25">
      <c r="A81" s="15"/>
      <c r="B81" s="16" t="s">
        <v>84</v>
      </c>
      <c r="C81" s="10">
        <v>0</v>
      </c>
      <c r="D81" s="10">
        <v>0</v>
      </c>
      <c r="E81" s="10">
        <f t="shared" si="26"/>
        <v>0</v>
      </c>
      <c r="F81" s="10">
        <v>0</v>
      </c>
      <c r="G81" s="10">
        <v>0</v>
      </c>
      <c r="H81" s="10">
        <f t="shared" si="27"/>
        <v>0</v>
      </c>
      <c r="J81" s="18"/>
      <c r="K81" s="18"/>
      <c r="L81" s="18"/>
      <c r="M81" s="18"/>
      <c r="N81" s="18"/>
      <c r="O81" s="18"/>
    </row>
    <row r="82" spans="1:15" x14ac:dyDescent="0.25">
      <c r="A82" s="15"/>
      <c r="B82" s="16" t="s">
        <v>85</v>
      </c>
      <c r="C82" s="10">
        <v>0</v>
      </c>
      <c r="D82" s="10">
        <v>0</v>
      </c>
      <c r="E82" s="10">
        <f t="shared" si="26"/>
        <v>0</v>
      </c>
      <c r="F82" s="10">
        <v>0</v>
      </c>
      <c r="G82" s="10">
        <v>0</v>
      </c>
      <c r="H82" s="10">
        <f t="shared" si="27"/>
        <v>0</v>
      </c>
      <c r="J82" s="18"/>
      <c r="K82" s="18"/>
      <c r="L82" s="18"/>
      <c r="M82" s="18"/>
      <c r="N82" s="18"/>
      <c r="O82" s="18"/>
    </row>
    <row r="83" spans="1:15" x14ac:dyDescent="0.25">
      <c r="A83" s="15"/>
      <c r="B83" s="16" t="s">
        <v>86</v>
      </c>
      <c r="C83" s="10">
        <v>0</v>
      </c>
      <c r="D83" s="10">
        <v>0</v>
      </c>
      <c r="E83" s="10">
        <f t="shared" si="26"/>
        <v>0</v>
      </c>
      <c r="F83" s="10">
        <v>0</v>
      </c>
      <c r="G83" s="10">
        <v>0</v>
      </c>
      <c r="H83" s="10">
        <f t="shared" si="27"/>
        <v>0</v>
      </c>
      <c r="J83" s="18"/>
      <c r="K83" s="18"/>
      <c r="L83" s="18"/>
      <c r="M83" s="18"/>
      <c r="N83" s="18"/>
      <c r="O83" s="18"/>
    </row>
    <row r="84" spans="1:15" x14ac:dyDescent="0.25">
      <c r="A84" s="15"/>
      <c r="B84" s="16" t="s">
        <v>87</v>
      </c>
      <c r="C84" s="19">
        <v>0</v>
      </c>
      <c r="D84" s="10">
        <v>0</v>
      </c>
      <c r="E84" s="10">
        <f t="shared" si="26"/>
        <v>0</v>
      </c>
      <c r="F84" s="19">
        <v>0</v>
      </c>
      <c r="G84" s="19">
        <v>0</v>
      </c>
      <c r="H84" s="10">
        <f t="shared" si="27"/>
        <v>0</v>
      </c>
      <c r="J84" s="18"/>
      <c r="K84" s="18"/>
      <c r="L84" s="18"/>
      <c r="M84" s="18"/>
      <c r="N84" s="18"/>
      <c r="O84" s="18"/>
    </row>
    <row r="85" spans="1:15" x14ac:dyDescent="0.25">
      <c r="A85" s="15"/>
      <c r="B85" s="16" t="s">
        <v>88</v>
      </c>
      <c r="C85" s="10">
        <v>2460700</v>
      </c>
      <c r="D85" s="10">
        <v>0</v>
      </c>
      <c r="E85" s="10">
        <f t="shared" si="26"/>
        <v>2460700</v>
      </c>
      <c r="F85" s="10">
        <v>2460655.61142</v>
      </c>
      <c r="G85" s="10">
        <v>2460655.61142</v>
      </c>
      <c r="H85" s="10">
        <f t="shared" si="27"/>
        <v>44.388580000028014</v>
      </c>
      <c r="J85" s="18"/>
      <c r="K85" s="18"/>
      <c r="L85" s="18"/>
      <c r="M85" s="18"/>
      <c r="N85" s="18"/>
      <c r="O85" s="18"/>
    </row>
    <row r="86" spans="1:15" x14ac:dyDescent="0.25">
      <c r="A86" s="2"/>
      <c r="B86" s="3"/>
      <c r="C86" s="11"/>
      <c r="D86" s="11"/>
      <c r="E86" s="11"/>
      <c r="F86" s="11"/>
      <c r="G86" s="11"/>
      <c r="H86" s="11"/>
    </row>
    <row r="87" spans="1:15" x14ac:dyDescent="0.25">
      <c r="A87" s="5"/>
      <c r="B87" s="5"/>
      <c r="C87" s="8"/>
      <c r="D87" s="8"/>
      <c r="E87" s="8"/>
      <c r="F87" s="8"/>
      <c r="G87" s="8"/>
      <c r="H87" s="8"/>
    </row>
    <row r="88" spans="1:15" x14ac:dyDescent="0.25">
      <c r="A88" s="6"/>
      <c r="B88" s="7"/>
      <c r="C88" s="9"/>
      <c r="D88" s="9"/>
      <c r="E88" s="9"/>
      <c r="F88" s="9"/>
      <c r="G88" s="9"/>
      <c r="H88" s="9"/>
    </row>
    <row r="89" spans="1:15" x14ac:dyDescent="0.25">
      <c r="A89" s="30" t="s">
        <v>89</v>
      </c>
      <c r="B89" s="31"/>
      <c r="C89" s="12">
        <f>+C90+C98+C108+C118+C128+C138+C142+C151+C155</f>
        <v>87264232</v>
      </c>
      <c r="D89" s="12">
        <f t="shared" ref="D89:H89" si="28">+D90+D98+D108+D118+D128+D138+D142+D151+D155</f>
        <v>0</v>
      </c>
      <c r="E89" s="12">
        <f t="shared" si="28"/>
        <v>87264232</v>
      </c>
      <c r="F89" s="12">
        <f t="shared" si="28"/>
        <v>93938432.799999997</v>
      </c>
      <c r="G89" s="12">
        <f>+G90+G98+G108+G118+G128+G138+G142+G151+G155</f>
        <v>93938432.799999997</v>
      </c>
      <c r="H89" s="12">
        <f t="shared" si="28"/>
        <v>-6674200.7999999989</v>
      </c>
      <c r="J89" s="14"/>
      <c r="K89" s="14"/>
    </row>
    <row r="90" spans="1:15" x14ac:dyDescent="0.25">
      <c r="A90" s="32" t="s">
        <v>15</v>
      </c>
      <c r="B90" s="33"/>
      <c r="C90" s="10">
        <f>SUM(C91:C97)</f>
        <v>10678256.200000001</v>
      </c>
      <c r="D90" s="10">
        <f t="shared" ref="D90:H90" si="29">SUM(D91:D97)</f>
        <v>0</v>
      </c>
      <c r="E90" s="10">
        <f t="shared" si="29"/>
        <v>10678256.200000001</v>
      </c>
      <c r="F90" s="10">
        <f t="shared" si="29"/>
        <v>10678256.200000001</v>
      </c>
      <c r="G90" s="10">
        <f t="shared" si="29"/>
        <v>10678256.200000001</v>
      </c>
      <c r="H90" s="10">
        <f t="shared" si="29"/>
        <v>0</v>
      </c>
      <c r="J90" s="24"/>
    </row>
    <row r="91" spans="1:15" x14ac:dyDescent="0.25">
      <c r="A91" s="15"/>
      <c r="B91" s="16" t="s">
        <v>16</v>
      </c>
      <c r="C91" s="10">
        <f>7071778+3532173</f>
        <v>10603951</v>
      </c>
      <c r="D91" s="10">
        <v>0</v>
      </c>
      <c r="E91" s="10">
        <f>+C91+D91</f>
        <v>10603951</v>
      </c>
      <c r="F91" s="10">
        <v>10603951</v>
      </c>
      <c r="G91" s="10">
        <v>10603951</v>
      </c>
      <c r="H91" s="10">
        <f>+E91-F91</f>
        <v>0</v>
      </c>
      <c r="J91" s="24"/>
    </row>
    <row r="92" spans="1:15" x14ac:dyDescent="0.25">
      <c r="A92" s="15"/>
      <c r="B92" s="16" t="s">
        <v>17</v>
      </c>
      <c r="C92" s="10">
        <v>0</v>
      </c>
      <c r="D92" s="10">
        <v>0</v>
      </c>
      <c r="E92" s="10">
        <v>0</v>
      </c>
      <c r="F92" s="10">
        <v>0</v>
      </c>
      <c r="G92" s="10">
        <v>0</v>
      </c>
      <c r="H92" s="10">
        <f t="shared" ref="H92:H97" si="30">+E92-F92</f>
        <v>0</v>
      </c>
      <c r="J92" s="24"/>
    </row>
    <row r="93" spans="1:15" x14ac:dyDescent="0.25">
      <c r="A93" s="15"/>
      <c r="B93" s="16" t="s">
        <v>18</v>
      </c>
      <c r="C93" s="10">
        <v>36213.800000000003</v>
      </c>
      <c r="D93" s="10">
        <v>0</v>
      </c>
      <c r="E93" s="10">
        <f>+C93+D93</f>
        <v>36213.800000000003</v>
      </c>
      <c r="F93" s="10">
        <v>36213.800000000003</v>
      </c>
      <c r="G93" s="10">
        <v>36213.800000000003</v>
      </c>
      <c r="H93" s="10">
        <f t="shared" si="30"/>
        <v>0</v>
      </c>
      <c r="J93" s="25"/>
    </row>
    <row r="94" spans="1:15" x14ac:dyDescent="0.25">
      <c r="A94" s="15"/>
      <c r="B94" s="16" t="s">
        <v>19</v>
      </c>
      <c r="C94" s="10">
        <v>18705.099999999999</v>
      </c>
      <c r="D94" s="10">
        <v>0</v>
      </c>
      <c r="E94" s="10">
        <f>+C94+D94</f>
        <v>18705.099999999999</v>
      </c>
      <c r="F94" s="10">
        <v>18705.099999999999</v>
      </c>
      <c r="G94" s="10">
        <v>18705.099999999999</v>
      </c>
      <c r="H94" s="10">
        <f t="shared" si="30"/>
        <v>0</v>
      </c>
      <c r="J94" s="24"/>
    </row>
    <row r="95" spans="1:15" x14ac:dyDescent="0.25">
      <c r="A95" s="15"/>
      <c r="B95" s="16" t="s">
        <v>20</v>
      </c>
      <c r="C95" s="10">
        <v>19386.3</v>
      </c>
      <c r="D95" s="10">
        <v>0</v>
      </c>
      <c r="E95" s="10">
        <f>+C95+D95</f>
        <v>19386.3</v>
      </c>
      <c r="F95" s="10">
        <v>19386.3</v>
      </c>
      <c r="G95" s="10">
        <v>19386.3</v>
      </c>
      <c r="H95" s="10">
        <f t="shared" si="30"/>
        <v>0</v>
      </c>
      <c r="J95" s="26"/>
    </row>
    <row r="96" spans="1:15" x14ac:dyDescent="0.25">
      <c r="A96" s="15"/>
      <c r="B96" s="16" t="s">
        <v>21</v>
      </c>
      <c r="C96" s="10">
        <v>0</v>
      </c>
      <c r="D96" s="10">
        <v>0</v>
      </c>
      <c r="E96" s="10">
        <v>0</v>
      </c>
      <c r="F96" s="10">
        <v>0</v>
      </c>
      <c r="G96" s="10">
        <v>0</v>
      </c>
      <c r="H96" s="10">
        <f t="shared" si="30"/>
        <v>0</v>
      </c>
    </row>
    <row r="97" spans="1:8" x14ac:dyDescent="0.25">
      <c r="A97" s="15"/>
      <c r="B97" s="16" t="s">
        <v>22</v>
      </c>
      <c r="C97" s="10">
        <v>0</v>
      </c>
      <c r="D97" s="10">
        <v>0</v>
      </c>
      <c r="E97" s="10">
        <v>0</v>
      </c>
      <c r="F97" s="10">
        <v>0</v>
      </c>
      <c r="G97" s="10">
        <v>0</v>
      </c>
      <c r="H97" s="10">
        <f t="shared" si="30"/>
        <v>0</v>
      </c>
    </row>
    <row r="98" spans="1:8" x14ac:dyDescent="0.25">
      <c r="A98" s="32" t="s">
        <v>24</v>
      </c>
      <c r="B98" s="33"/>
      <c r="C98" s="10">
        <f>SUM(C99:C107)</f>
        <v>20781.7</v>
      </c>
      <c r="D98" s="10">
        <f t="shared" ref="D98:G98" si="31">SUM(D99:D107)</f>
        <v>0</v>
      </c>
      <c r="E98" s="10">
        <f t="shared" si="31"/>
        <v>20781.7</v>
      </c>
      <c r="F98" s="10">
        <f t="shared" si="31"/>
        <v>20781.600000000002</v>
      </c>
      <c r="G98" s="10">
        <f t="shared" si="31"/>
        <v>20781.600000000002</v>
      </c>
      <c r="H98" s="10">
        <f>SUM(H99:H107)</f>
        <v>0.10000000000000142</v>
      </c>
    </row>
    <row r="99" spans="1:8" x14ac:dyDescent="0.25">
      <c r="A99" s="15"/>
      <c r="B99" s="16" t="s">
        <v>25</v>
      </c>
      <c r="C99" s="10">
        <f>12593.6-11384.4+6181.6</f>
        <v>7390.8000000000011</v>
      </c>
      <c r="D99" s="10">
        <v>0</v>
      </c>
      <c r="E99" s="10">
        <f>+C99+D99</f>
        <v>7390.8000000000011</v>
      </c>
      <c r="F99" s="10">
        <v>7390.8</v>
      </c>
      <c r="G99" s="10">
        <v>7390.8</v>
      </c>
      <c r="H99" s="10">
        <f t="shared" ref="H99:H107" si="32">+E99-F99</f>
        <v>0</v>
      </c>
    </row>
    <row r="100" spans="1:8" x14ac:dyDescent="0.25">
      <c r="A100" s="15"/>
      <c r="B100" s="16" t="s">
        <v>26</v>
      </c>
      <c r="C100" s="10">
        <f>11384.4+1970.3</f>
        <v>13354.699999999999</v>
      </c>
      <c r="D100" s="10">
        <v>0</v>
      </c>
      <c r="E100" s="10">
        <f>+C100+D100</f>
        <v>13354.699999999999</v>
      </c>
      <c r="F100" s="10">
        <v>13354.7</v>
      </c>
      <c r="G100" s="10">
        <v>13354.7</v>
      </c>
      <c r="H100" s="10">
        <f t="shared" si="32"/>
        <v>0</v>
      </c>
    </row>
    <row r="101" spans="1:8" x14ac:dyDescent="0.25">
      <c r="A101" s="15"/>
      <c r="B101" s="16" t="s">
        <v>27</v>
      </c>
      <c r="C101" s="10">
        <v>0</v>
      </c>
      <c r="D101" s="10">
        <v>0</v>
      </c>
      <c r="E101" s="10">
        <v>0</v>
      </c>
      <c r="F101" s="10">
        <v>0</v>
      </c>
      <c r="G101" s="10">
        <v>0</v>
      </c>
      <c r="H101" s="10">
        <f t="shared" si="32"/>
        <v>0</v>
      </c>
    </row>
    <row r="102" spans="1:8" x14ac:dyDescent="0.25">
      <c r="A102" s="15"/>
      <c r="B102" s="16" t="s">
        <v>28</v>
      </c>
      <c r="C102" s="10">
        <v>0</v>
      </c>
      <c r="D102" s="10">
        <v>0</v>
      </c>
      <c r="E102" s="10">
        <v>0</v>
      </c>
      <c r="F102" s="10">
        <v>0</v>
      </c>
      <c r="G102" s="10">
        <v>0</v>
      </c>
      <c r="H102" s="10">
        <f t="shared" si="32"/>
        <v>0</v>
      </c>
    </row>
    <row r="103" spans="1:8" x14ac:dyDescent="0.25">
      <c r="A103" s="15"/>
      <c r="B103" s="16" t="s">
        <v>29</v>
      </c>
      <c r="C103" s="10">
        <v>0</v>
      </c>
      <c r="D103" s="10">
        <v>0</v>
      </c>
      <c r="E103" s="10">
        <v>0</v>
      </c>
      <c r="F103" s="10">
        <v>0</v>
      </c>
      <c r="G103" s="10">
        <v>0</v>
      </c>
      <c r="H103" s="10">
        <f t="shared" si="32"/>
        <v>0</v>
      </c>
    </row>
    <row r="104" spans="1:8" x14ac:dyDescent="0.25">
      <c r="A104" s="15"/>
      <c r="B104" s="16" t="s">
        <v>30</v>
      </c>
      <c r="C104" s="10">
        <v>0</v>
      </c>
      <c r="D104" s="10">
        <v>0</v>
      </c>
      <c r="E104" s="10">
        <f>+C104+D104</f>
        <v>0</v>
      </c>
      <c r="F104" s="10">
        <v>0</v>
      </c>
      <c r="G104" s="10">
        <v>0</v>
      </c>
      <c r="H104" s="10">
        <f t="shared" si="32"/>
        <v>0</v>
      </c>
    </row>
    <row r="105" spans="1:8" x14ac:dyDescent="0.25">
      <c r="A105" s="15"/>
      <c r="B105" s="16" t="s">
        <v>31</v>
      </c>
      <c r="C105" s="10">
        <v>25</v>
      </c>
      <c r="D105" s="10">
        <v>0</v>
      </c>
      <c r="E105" s="10">
        <f>+C105+D105</f>
        <v>25</v>
      </c>
      <c r="F105" s="10">
        <v>24.9</v>
      </c>
      <c r="G105" s="10">
        <v>24.9</v>
      </c>
      <c r="H105" s="10">
        <f t="shared" si="32"/>
        <v>0.10000000000000142</v>
      </c>
    </row>
    <row r="106" spans="1:8" x14ac:dyDescent="0.25">
      <c r="A106" s="15"/>
      <c r="B106" s="16" t="s">
        <v>32</v>
      </c>
      <c r="C106" s="10">
        <v>0</v>
      </c>
      <c r="D106" s="10">
        <v>0</v>
      </c>
      <c r="E106" s="10">
        <v>0</v>
      </c>
      <c r="F106" s="10">
        <v>0</v>
      </c>
      <c r="G106" s="10">
        <v>0</v>
      </c>
      <c r="H106" s="10">
        <f t="shared" si="32"/>
        <v>0</v>
      </c>
    </row>
    <row r="107" spans="1:8" x14ac:dyDescent="0.25">
      <c r="A107" s="15"/>
      <c r="B107" s="16" t="s">
        <v>33</v>
      </c>
      <c r="C107" s="10">
        <v>11.2</v>
      </c>
      <c r="D107" s="10">
        <v>0</v>
      </c>
      <c r="E107" s="10">
        <f>+C107+D107</f>
        <v>11.2</v>
      </c>
      <c r="F107" s="10">
        <v>11.2</v>
      </c>
      <c r="G107" s="10">
        <v>11.2</v>
      </c>
      <c r="H107" s="10">
        <f t="shared" si="32"/>
        <v>0</v>
      </c>
    </row>
    <row r="108" spans="1:8" x14ac:dyDescent="0.25">
      <c r="A108" s="32" t="s">
        <v>34</v>
      </c>
      <c r="B108" s="33"/>
      <c r="C108" s="10">
        <f>SUM(C109:C117)</f>
        <v>65510.9</v>
      </c>
      <c r="D108" s="10">
        <f t="shared" ref="D108:H108" si="33">SUM(D109:D117)</f>
        <v>0</v>
      </c>
      <c r="E108" s="10">
        <f t="shared" si="33"/>
        <v>65510.9</v>
      </c>
      <c r="F108" s="10">
        <f t="shared" si="33"/>
        <v>65183.3</v>
      </c>
      <c r="G108" s="10">
        <f t="shared" si="33"/>
        <v>65183.3</v>
      </c>
      <c r="H108" s="10">
        <f t="shared" si="33"/>
        <v>327.59999999999991</v>
      </c>
    </row>
    <row r="109" spans="1:8" x14ac:dyDescent="0.25">
      <c r="A109" s="15"/>
      <c r="B109" s="16" t="s">
        <v>35</v>
      </c>
      <c r="C109" s="10">
        <v>0</v>
      </c>
      <c r="D109" s="10">
        <v>0</v>
      </c>
      <c r="E109" s="10">
        <v>0</v>
      </c>
      <c r="F109" s="10">
        <v>0</v>
      </c>
      <c r="G109" s="10">
        <v>0</v>
      </c>
      <c r="H109" s="10">
        <f t="shared" ref="H109:H117" si="34">+E109-F109</f>
        <v>0</v>
      </c>
    </row>
    <row r="110" spans="1:8" x14ac:dyDescent="0.25">
      <c r="A110" s="15"/>
      <c r="B110" s="16" t="s">
        <v>36</v>
      </c>
      <c r="C110" s="10">
        <v>0</v>
      </c>
      <c r="D110" s="10">
        <v>0</v>
      </c>
      <c r="E110" s="10">
        <v>0</v>
      </c>
      <c r="F110" s="10">
        <v>0</v>
      </c>
      <c r="G110" s="10">
        <v>0</v>
      </c>
      <c r="H110" s="10">
        <f t="shared" si="34"/>
        <v>0</v>
      </c>
    </row>
    <row r="111" spans="1:8" x14ac:dyDescent="0.25">
      <c r="A111" s="15"/>
      <c r="B111" s="16" t="s">
        <v>37</v>
      </c>
      <c r="C111" s="10">
        <f>827.1+20225.9</f>
        <v>21053</v>
      </c>
      <c r="D111" s="10">
        <v>0</v>
      </c>
      <c r="E111" s="10">
        <f>+C111+D111</f>
        <v>21053</v>
      </c>
      <c r="F111" s="10">
        <v>21053</v>
      </c>
      <c r="G111" s="10">
        <v>21053</v>
      </c>
      <c r="H111" s="10">
        <f t="shared" si="34"/>
        <v>0</v>
      </c>
    </row>
    <row r="112" spans="1:8" x14ac:dyDescent="0.25">
      <c r="A112" s="15"/>
      <c r="B112" s="16" t="s">
        <v>38</v>
      </c>
      <c r="C112" s="10">
        <v>0</v>
      </c>
      <c r="D112" s="10">
        <v>0</v>
      </c>
      <c r="E112" s="10">
        <v>0</v>
      </c>
      <c r="F112" s="10"/>
      <c r="G112" s="10"/>
      <c r="H112" s="10">
        <f t="shared" si="34"/>
        <v>0</v>
      </c>
    </row>
    <row r="113" spans="1:11" x14ac:dyDescent="0.25">
      <c r="A113" s="15"/>
      <c r="B113" s="16" t="s">
        <v>39</v>
      </c>
      <c r="C113" s="10">
        <v>0</v>
      </c>
      <c r="D113" s="10">
        <v>0</v>
      </c>
      <c r="E113" s="10">
        <v>0</v>
      </c>
      <c r="F113" s="10"/>
      <c r="G113" s="10"/>
      <c r="H113" s="10">
        <f t="shared" si="34"/>
        <v>0</v>
      </c>
    </row>
    <row r="114" spans="1:11" x14ac:dyDescent="0.25">
      <c r="A114" s="15"/>
      <c r="B114" s="16" t="s">
        <v>40</v>
      </c>
      <c r="C114" s="10">
        <v>0</v>
      </c>
      <c r="D114" s="10">
        <v>0</v>
      </c>
      <c r="E114" s="10">
        <f>+C114+D114</f>
        <v>0</v>
      </c>
      <c r="F114" s="10"/>
      <c r="G114" s="10"/>
      <c r="H114" s="10">
        <f t="shared" si="34"/>
        <v>0</v>
      </c>
    </row>
    <row r="115" spans="1:11" x14ac:dyDescent="0.25">
      <c r="A115" s="15"/>
      <c r="B115" s="16" t="s">
        <v>41</v>
      </c>
      <c r="C115" s="10">
        <f>1204.1+163.8</f>
        <v>1367.8999999999999</v>
      </c>
      <c r="D115" s="10">
        <v>0</v>
      </c>
      <c r="E115" s="10">
        <f>+C115+D115</f>
        <v>1367.8999999999999</v>
      </c>
      <c r="F115" s="10">
        <v>1040.3</v>
      </c>
      <c r="G115" s="10">
        <v>1040.3</v>
      </c>
      <c r="H115" s="10">
        <f t="shared" si="34"/>
        <v>327.59999999999991</v>
      </c>
    </row>
    <row r="116" spans="1:11" x14ac:dyDescent="0.25">
      <c r="A116" s="15"/>
      <c r="B116" s="16" t="s">
        <v>42</v>
      </c>
      <c r="C116" s="10">
        <f>30565.3+11032.2</f>
        <v>41597.5</v>
      </c>
      <c r="D116" s="10">
        <v>0</v>
      </c>
      <c r="E116" s="10">
        <f>+C116+D116</f>
        <v>41597.5</v>
      </c>
      <c r="F116" s="10">
        <v>41597.5</v>
      </c>
      <c r="G116" s="10">
        <v>41597.5</v>
      </c>
      <c r="H116" s="10">
        <f t="shared" si="34"/>
        <v>0</v>
      </c>
    </row>
    <row r="117" spans="1:11" x14ac:dyDescent="0.25">
      <c r="A117" s="15"/>
      <c r="B117" s="16" t="s">
        <v>43</v>
      </c>
      <c r="C117" s="10">
        <f>42+1450.5</f>
        <v>1492.5</v>
      </c>
      <c r="D117" s="10">
        <v>0</v>
      </c>
      <c r="E117" s="10">
        <f>+C117+D117</f>
        <v>1492.5</v>
      </c>
      <c r="F117" s="10">
        <v>1492.5</v>
      </c>
      <c r="G117" s="10">
        <v>1492.5</v>
      </c>
      <c r="H117" s="10">
        <f t="shared" si="34"/>
        <v>0</v>
      </c>
    </row>
    <row r="118" spans="1:11" x14ac:dyDescent="0.25">
      <c r="A118" s="32" t="s">
        <v>44</v>
      </c>
      <c r="B118" s="33"/>
      <c r="C118" s="10">
        <f>SUM(C119:C125)</f>
        <v>54528914.099999994</v>
      </c>
      <c r="D118" s="10">
        <f t="shared" ref="D118:E118" si="35">SUM(D119:D125)</f>
        <v>0</v>
      </c>
      <c r="E118" s="10">
        <f t="shared" si="35"/>
        <v>54528914.099999994</v>
      </c>
      <c r="F118" s="10">
        <f>SUM(F119:F127)</f>
        <v>54528914.100000001</v>
      </c>
      <c r="G118" s="10">
        <f>SUM(G119:G127)</f>
        <v>54528914.100000001</v>
      </c>
      <c r="H118" s="10">
        <f t="shared" ref="H118:H154" si="36">+E118-F118</f>
        <v>0</v>
      </c>
    </row>
    <row r="119" spans="1:11" x14ac:dyDescent="0.25">
      <c r="A119" s="15"/>
      <c r="B119" s="16" t="s">
        <v>45</v>
      </c>
      <c r="C119" s="10">
        <v>1979385.5</v>
      </c>
      <c r="D119" s="10">
        <v>0</v>
      </c>
      <c r="E119" s="10">
        <f>+C119+D119</f>
        <v>1979385.5</v>
      </c>
      <c r="F119" s="10">
        <v>1979385.5</v>
      </c>
      <c r="G119" s="10">
        <v>1979385.5</v>
      </c>
      <c r="H119" s="10">
        <f t="shared" si="36"/>
        <v>0</v>
      </c>
    </row>
    <row r="120" spans="1:11" x14ac:dyDescent="0.25">
      <c r="A120" s="15"/>
      <c r="B120" s="16" t="s">
        <v>46</v>
      </c>
      <c r="C120" s="10">
        <v>0</v>
      </c>
      <c r="D120" s="10">
        <v>0</v>
      </c>
      <c r="E120" s="10">
        <v>0</v>
      </c>
      <c r="F120" s="10">
        <v>0</v>
      </c>
      <c r="G120" s="10">
        <v>0</v>
      </c>
      <c r="H120" s="10">
        <f t="shared" si="36"/>
        <v>0</v>
      </c>
    </row>
    <row r="121" spans="1:11" x14ac:dyDescent="0.25">
      <c r="A121" s="15"/>
      <c r="B121" s="16" t="s">
        <v>47</v>
      </c>
      <c r="C121" s="10">
        <v>0</v>
      </c>
      <c r="D121" s="10">
        <v>0</v>
      </c>
      <c r="E121" s="10">
        <v>0</v>
      </c>
      <c r="F121" s="10">
        <v>0</v>
      </c>
      <c r="G121" s="10">
        <v>0</v>
      </c>
      <c r="H121" s="10">
        <f t="shared" si="36"/>
        <v>0</v>
      </c>
    </row>
    <row r="122" spans="1:11" x14ac:dyDescent="0.25">
      <c r="A122" s="15"/>
      <c r="B122" s="16" t="s">
        <v>48</v>
      </c>
      <c r="C122" s="10">
        <f>363088.7+536366.3</f>
        <v>899455</v>
      </c>
      <c r="D122" s="10">
        <v>0</v>
      </c>
      <c r="E122" s="10">
        <f>+C122+D122</f>
        <v>899455</v>
      </c>
      <c r="F122" s="10">
        <v>899455</v>
      </c>
      <c r="G122" s="10">
        <v>899455</v>
      </c>
      <c r="H122" s="10">
        <f t="shared" si="36"/>
        <v>0</v>
      </c>
    </row>
    <row r="123" spans="1:11" x14ac:dyDescent="0.25">
      <c r="A123" s="15"/>
      <c r="B123" s="16" t="s">
        <v>49</v>
      </c>
      <c r="C123" s="10">
        <v>0</v>
      </c>
      <c r="D123" s="10">
        <v>0</v>
      </c>
      <c r="E123" s="10">
        <v>0</v>
      </c>
      <c r="F123" s="10"/>
      <c r="G123" s="10"/>
      <c r="H123" s="10">
        <f t="shared" si="36"/>
        <v>0</v>
      </c>
    </row>
    <row r="124" spans="1:11" x14ac:dyDescent="0.25">
      <c r="A124" s="15"/>
      <c r="B124" s="16" t="s">
        <v>50</v>
      </c>
      <c r="C124" s="10">
        <f>28287112+9351347.9+723508.5+29583163.4-12729.5-69793.8-974131.1-30441.7-5672567.2-2030536.6-1982.5-105027.3+1058858.1-8456706.6</f>
        <v>51650073.599999994</v>
      </c>
      <c r="D124" s="10">
        <v>0</v>
      </c>
      <c r="E124" s="10">
        <f>+C124+D124</f>
        <v>51650073.599999994</v>
      </c>
      <c r="F124" s="10">
        <v>51650073.600000001</v>
      </c>
      <c r="G124" s="10">
        <v>51650073.600000001</v>
      </c>
      <c r="H124" s="10">
        <f t="shared" si="36"/>
        <v>0</v>
      </c>
      <c r="K124" s="14"/>
    </row>
    <row r="125" spans="1:11" x14ac:dyDescent="0.25">
      <c r="A125" s="15"/>
      <c r="B125" s="16" t="s">
        <v>51</v>
      </c>
      <c r="C125" s="10">
        <v>0</v>
      </c>
      <c r="D125" s="10">
        <v>0</v>
      </c>
      <c r="E125" s="10">
        <v>0</v>
      </c>
      <c r="F125" s="10">
        <v>0</v>
      </c>
      <c r="G125" s="10">
        <v>0</v>
      </c>
      <c r="H125" s="10">
        <f t="shared" si="36"/>
        <v>0</v>
      </c>
    </row>
    <row r="126" spans="1:11" x14ac:dyDescent="0.25">
      <c r="A126" s="15"/>
      <c r="B126" s="16" t="s">
        <v>52</v>
      </c>
      <c r="C126" s="10">
        <v>0</v>
      </c>
      <c r="D126" s="10">
        <v>0</v>
      </c>
      <c r="E126" s="10">
        <v>0</v>
      </c>
      <c r="F126" s="10">
        <v>0</v>
      </c>
      <c r="G126" s="10">
        <v>0</v>
      </c>
      <c r="H126" s="10">
        <f t="shared" si="36"/>
        <v>0</v>
      </c>
      <c r="K126" s="14"/>
    </row>
    <row r="127" spans="1:11" x14ac:dyDescent="0.25">
      <c r="A127" s="15"/>
      <c r="B127" s="16" t="s">
        <v>53</v>
      </c>
      <c r="C127" s="10">
        <v>0</v>
      </c>
      <c r="D127" s="10">
        <v>0</v>
      </c>
      <c r="E127" s="10">
        <v>0</v>
      </c>
      <c r="F127" s="10">
        <v>0</v>
      </c>
      <c r="G127" s="10">
        <v>0</v>
      </c>
      <c r="H127" s="10">
        <f t="shared" si="36"/>
        <v>0</v>
      </c>
    </row>
    <row r="128" spans="1:11" x14ac:dyDescent="0.25">
      <c r="A128" s="32" t="s">
        <v>54</v>
      </c>
      <c r="B128" s="33"/>
      <c r="C128" s="10">
        <f t="shared" ref="C128:G128" si="37">SUM(C129:C137)</f>
        <v>30079.1</v>
      </c>
      <c r="D128" s="10">
        <f t="shared" si="37"/>
        <v>0</v>
      </c>
      <c r="E128" s="10">
        <f t="shared" si="37"/>
        <v>30079.1</v>
      </c>
      <c r="F128" s="10">
        <f t="shared" si="37"/>
        <v>29000</v>
      </c>
      <c r="G128" s="10">
        <f t="shared" si="37"/>
        <v>29000</v>
      </c>
      <c r="H128" s="10">
        <f t="shared" si="36"/>
        <v>1079.0999999999985</v>
      </c>
    </row>
    <row r="129" spans="1:14" x14ac:dyDescent="0.25">
      <c r="A129" s="15"/>
      <c r="B129" s="16" t="s">
        <v>55</v>
      </c>
      <c r="C129" s="10">
        <v>30079.1</v>
      </c>
      <c r="D129" s="10">
        <v>0</v>
      </c>
      <c r="E129" s="10">
        <f>+C129+D129</f>
        <v>30079.1</v>
      </c>
      <c r="F129" s="10">
        <v>29000</v>
      </c>
      <c r="G129" s="10">
        <v>29000</v>
      </c>
      <c r="H129" s="10">
        <f t="shared" si="36"/>
        <v>1079.0999999999985</v>
      </c>
    </row>
    <row r="130" spans="1:14" x14ac:dyDescent="0.25">
      <c r="A130" s="15"/>
      <c r="B130" s="16" t="s">
        <v>56</v>
      </c>
      <c r="C130" s="10">
        <v>0</v>
      </c>
      <c r="D130" s="10">
        <v>0</v>
      </c>
      <c r="E130" s="10">
        <f>+C130+D130</f>
        <v>0</v>
      </c>
      <c r="F130" s="10">
        <v>0</v>
      </c>
      <c r="G130" s="10">
        <v>0</v>
      </c>
      <c r="H130" s="10">
        <f t="shared" si="36"/>
        <v>0</v>
      </c>
    </row>
    <row r="131" spans="1:14" x14ac:dyDescent="0.25">
      <c r="A131" s="15"/>
      <c r="B131" s="16" t="s">
        <v>57</v>
      </c>
      <c r="C131" s="10">
        <v>0</v>
      </c>
      <c r="D131" s="10">
        <v>0</v>
      </c>
      <c r="E131" s="10">
        <v>0</v>
      </c>
      <c r="F131" s="10">
        <v>0</v>
      </c>
      <c r="G131" s="10">
        <v>0</v>
      </c>
      <c r="H131" s="10">
        <f t="shared" si="36"/>
        <v>0</v>
      </c>
    </row>
    <row r="132" spans="1:14" x14ac:dyDescent="0.25">
      <c r="A132" s="15"/>
      <c r="B132" s="16" t="s">
        <v>58</v>
      </c>
      <c r="C132" s="10">
        <v>0</v>
      </c>
      <c r="D132" s="10">
        <v>0</v>
      </c>
      <c r="E132" s="10">
        <v>0</v>
      </c>
      <c r="F132" s="10">
        <v>0</v>
      </c>
      <c r="G132" s="10">
        <v>0</v>
      </c>
      <c r="H132" s="10">
        <f t="shared" si="36"/>
        <v>0</v>
      </c>
    </row>
    <row r="133" spans="1:14" x14ac:dyDescent="0.25">
      <c r="A133" s="15"/>
      <c r="B133" s="16" t="s">
        <v>59</v>
      </c>
      <c r="C133" s="10">
        <v>0</v>
      </c>
      <c r="D133" s="10">
        <v>0</v>
      </c>
      <c r="E133" s="10">
        <v>0</v>
      </c>
      <c r="F133" s="10">
        <v>0</v>
      </c>
      <c r="G133" s="10">
        <v>0</v>
      </c>
      <c r="H133" s="10">
        <f t="shared" si="36"/>
        <v>0</v>
      </c>
    </row>
    <row r="134" spans="1:14" x14ac:dyDescent="0.25">
      <c r="A134" s="15"/>
      <c r="B134" s="16" t="s">
        <v>60</v>
      </c>
      <c r="C134" s="10">
        <v>0</v>
      </c>
      <c r="D134" s="10">
        <v>0</v>
      </c>
      <c r="E134" s="10">
        <f>+C134+D134</f>
        <v>0</v>
      </c>
      <c r="F134" s="10">
        <v>0</v>
      </c>
      <c r="G134" s="10">
        <v>0</v>
      </c>
      <c r="H134" s="10">
        <f t="shared" si="36"/>
        <v>0</v>
      </c>
    </row>
    <row r="135" spans="1:14" x14ac:dyDescent="0.25">
      <c r="A135" s="15"/>
      <c r="B135" s="16" t="s">
        <v>61</v>
      </c>
      <c r="C135" s="10">
        <v>0</v>
      </c>
      <c r="D135" s="10">
        <v>0</v>
      </c>
      <c r="E135" s="10">
        <v>0</v>
      </c>
      <c r="F135" s="10">
        <v>0</v>
      </c>
      <c r="G135" s="10">
        <v>0</v>
      </c>
      <c r="H135" s="10">
        <f t="shared" si="36"/>
        <v>0</v>
      </c>
      <c r="L135" s="18"/>
      <c r="M135" s="18"/>
      <c r="N135" s="18"/>
    </row>
    <row r="136" spans="1:14" x14ac:dyDescent="0.25">
      <c r="A136" s="15"/>
      <c r="B136" s="16" t="s">
        <v>62</v>
      </c>
      <c r="C136" s="10">
        <v>0</v>
      </c>
      <c r="D136" s="10">
        <v>0</v>
      </c>
      <c r="E136" s="10">
        <v>0</v>
      </c>
      <c r="F136" s="10">
        <v>0</v>
      </c>
      <c r="G136" s="10">
        <v>0</v>
      </c>
      <c r="H136" s="10">
        <f t="shared" si="36"/>
        <v>0</v>
      </c>
      <c r="L136" s="18"/>
      <c r="M136" s="18"/>
      <c r="N136" s="18"/>
    </row>
    <row r="137" spans="1:14" x14ac:dyDescent="0.25">
      <c r="A137" s="15"/>
      <c r="B137" s="16" t="s">
        <v>63</v>
      </c>
      <c r="C137" s="10">
        <v>0</v>
      </c>
      <c r="D137" s="10">
        <v>0</v>
      </c>
      <c r="E137" s="10">
        <v>0</v>
      </c>
      <c r="F137" s="10">
        <v>0</v>
      </c>
      <c r="G137" s="10">
        <v>0</v>
      </c>
      <c r="H137" s="10">
        <f t="shared" si="36"/>
        <v>0</v>
      </c>
      <c r="L137" s="18"/>
      <c r="M137" s="18"/>
      <c r="N137" s="18"/>
    </row>
    <row r="138" spans="1:14" x14ac:dyDescent="0.25">
      <c r="A138" s="32" t="s">
        <v>64</v>
      </c>
      <c r="B138" s="33"/>
      <c r="C138" s="10">
        <f>SUM(C139:C141)</f>
        <v>5759693.0999999996</v>
      </c>
      <c r="D138" s="10">
        <f t="shared" ref="D138:G138" si="38">SUM(D139:D141)</f>
        <v>0</v>
      </c>
      <c r="E138" s="10">
        <f t="shared" si="38"/>
        <v>5759693.0999999996</v>
      </c>
      <c r="F138" s="10">
        <f t="shared" si="38"/>
        <v>11164420.999999998</v>
      </c>
      <c r="G138" s="10">
        <f t="shared" si="38"/>
        <v>11164420.999999998</v>
      </c>
      <c r="H138" s="10">
        <f t="shared" si="36"/>
        <v>-5404727.8999999985</v>
      </c>
      <c r="K138" s="14"/>
      <c r="L138" s="18"/>
      <c r="M138" s="18"/>
      <c r="N138" s="18"/>
    </row>
    <row r="139" spans="1:14" x14ac:dyDescent="0.25">
      <c r="A139" s="15"/>
      <c r="B139" s="16" t="s">
        <v>65</v>
      </c>
      <c r="C139" s="10">
        <v>5235447.0999999996</v>
      </c>
      <c r="D139" s="10">
        <v>0</v>
      </c>
      <c r="E139" s="10">
        <f>+C139+D139</f>
        <v>5235447.0999999996</v>
      </c>
      <c r="F139" s="10">
        <f>9375826.2+921571.2</f>
        <v>10297397.399999999</v>
      </c>
      <c r="G139" s="10">
        <f>9375826.2+921571.2</f>
        <v>10297397.399999999</v>
      </c>
      <c r="H139" s="10">
        <f t="shared" si="36"/>
        <v>-5061950.2999999989</v>
      </c>
      <c r="J139" s="14"/>
      <c r="L139" s="18"/>
      <c r="M139" s="18"/>
      <c r="N139" s="18"/>
    </row>
    <row r="140" spans="1:14" x14ac:dyDescent="0.25">
      <c r="A140" s="15"/>
      <c r="B140" s="16" t="s">
        <v>66</v>
      </c>
      <c r="C140" s="10">
        <v>510200.6</v>
      </c>
      <c r="D140" s="10">
        <v>0</v>
      </c>
      <c r="E140" s="10">
        <f>+C140+D140</f>
        <v>510200.6</v>
      </c>
      <c r="F140" s="10">
        <v>496175.9</v>
      </c>
      <c r="G140" s="10">
        <v>496175.9</v>
      </c>
      <c r="H140" s="10">
        <f t="shared" si="36"/>
        <v>14024.699999999953</v>
      </c>
      <c r="M140" s="18"/>
    </row>
    <row r="141" spans="1:14" x14ac:dyDescent="0.25">
      <c r="A141" s="15"/>
      <c r="B141" s="16" t="s">
        <v>67</v>
      </c>
      <c r="C141" s="10">
        <v>14045.4</v>
      </c>
      <c r="D141" s="10">
        <v>0</v>
      </c>
      <c r="E141" s="10">
        <f>+C141+D141</f>
        <v>14045.4</v>
      </c>
      <c r="F141" s="10">
        <v>370847.7</v>
      </c>
      <c r="G141" s="10">
        <v>370847.7</v>
      </c>
      <c r="H141" s="10">
        <f t="shared" si="36"/>
        <v>-356802.3</v>
      </c>
      <c r="M141" s="18"/>
    </row>
    <row r="142" spans="1:14" x14ac:dyDescent="0.25">
      <c r="A142" s="32" t="s">
        <v>68</v>
      </c>
      <c r="B142" s="33"/>
      <c r="C142" s="10">
        <f>SUM(C143:C150)</f>
        <v>0</v>
      </c>
      <c r="D142" s="10">
        <f t="shared" ref="D142:G142" si="39">SUM(D143:D150)</f>
        <v>0</v>
      </c>
      <c r="E142" s="10">
        <f t="shared" si="39"/>
        <v>0</v>
      </c>
      <c r="F142" s="10">
        <f t="shared" si="39"/>
        <v>0</v>
      </c>
      <c r="G142" s="10">
        <f t="shared" si="39"/>
        <v>0</v>
      </c>
      <c r="H142" s="10">
        <f t="shared" si="36"/>
        <v>0</v>
      </c>
      <c r="M142" s="20"/>
    </row>
    <row r="143" spans="1:14" x14ac:dyDescent="0.25">
      <c r="A143" s="15"/>
      <c r="B143" s="16" t="s">
        <v>69</v>
      </c>
      <c r="C143" s="10">
        <v>0</v>
      </c>
      <c r="D143" s="10">
        <v>0</v>
      </c>
      <c r="E143" s="10">
        <v>0</v>
      </c>
      <c r="F143" s="10">
        <v>0</v>
      </c>
      <c r="G143" s="10">
        <v>0</v>
      </c>
      <c r="H143" s="10">
        <f t="shared" si="36"/>
        <v>0</v>
      </c>
    </row>
    <row r="144" spans="1:14" x14ac:dyDescent="0.25">
      <c r="A144" s="15"/>
      <c r="B144" s="16" t="s">
        <v>70</v>
      </c>
      <c r="C144" s="10">
        <v>0</v>
      </c>
      <c r="D144" s="10">
        <v>0</v>
      </c>
      <c r="E144" s="10">
        <v>0</v>
      </c>
      <c r="F144" s="10">
        <v>0</v>
      </c>
      <c r="G144" s="10">
        <v>0</v>
      </c>
      <c r="H144" s="10">
        <f t="shared" si="36"/>
        <v>0</v>
      </c>
    </row>
    <row r="145" spans="1:13" x14ac:dyDescent="0.25">
      <c r="A145" s="15"/>
      <c r="B145" s="16" t="s">
        <v>71</v>
      </c>
      <c r="C145" s="10">
        <v>0</v>
      </c>
      <c r="D145" s="10">
        <v>0</v>
      </c>
      <c r="E145" s="10">
        <v>0</v>
      </c>
      <c r="F145" s="10">
        <v>0</v>
      </c>
      <c r="G145" s="10">
        <v>0</v>
      </c>
      <c r="H145" s="10">
        <f t="shared" si="36"/>
        <v>0</v>
      </c>
    </row>
    <row r="146" spans="1:13" x14ac:dyDescent="0.25">
      <c r="A146" s="15"/>
      <c r="B146" s="16" t="s">
        <v>72</v>
      </c>
      <c r="C146" s="10">
        <v>0</v>
      </c>
      <c r="D146" s="10">
        <v>0</v>
      </c>
      <c r="E146" s="10">
        <v>0</v>
      </c>
      <c r="F146" s="10">
        <v>0</v>
      </c>
      <c r="G146" s="10">
        <v>0</v>
      </c>
      <c r="H146" s="10">
        <f t="shared" si="36"/>
        <v>0</v>
      </c>
      <c r="L146" s="18"/>
      <c r="M146" s="18"/>
    </row>
    <row r="147" spans="1:13" x14ac:dyDescent="0.25">
      <c r="A147" s="15"/>
      <c r="B147" s="16" t="s">
        <v>73</v>
      </c>
      <c r="C147" s="10">
        <v>0</v>
      </c>
      <c r="D147" s="10">
        <v>0</v>
      </c>
      <c r="E147" s="10">
        <v>0</v>
      </c>
      <c r="F147" s="10">
        <v>0</v>
      </c>
      <c r="G147" s="10">
        <v>0</v>
      </c>
      <c r="H147" s="10">
        <f t="shared" si="36"/>
        <v>0</v>
      </c>
      <c r="L147" s="18"/>
      <c r="M147" s="18"/>
    </row>
    <row r="148" spans="1:13" x14ac:dyDescent="0.25">
      <c r="A148" s="15"/>
      <c r="B148" s="16" t="s">
        <v>74</v>
      </c>
      <c r="C148" s="10">
        <v>0</v>
      </c>
      <c r="D148" s="10">
        <v>0</v>
      </c>
      <c r="E148" s="10">
        <v>0</v>
      </c>
      <c r="F148" s="10">
        <v>0</v>
      </c>
      <c r="G148" s="10">
        <v>0</v>
      </c>
      <c r="H148" s="10">
        <f t="shared" si="36"/>
        <v>0</v>
      </c>
      <c r="L148" s="18"/>
      <c r="M148" s="18"/>
    </row>
    <row r="149" spans="1:13" x14ac:dyDescent="0.25">
      <c r="A149" s="15"/>
      <c r="B149" s="16" t="s">
        <v>75</v>
      </c>
      <c r="C149" s="10">
        <v>0</v>
      </c>
      <c r="D149" s="10">
        <v>0</v>
      </c>
      <c r="E149" s="10">
        <v>0</v>
      </c>
      <c r="F149" s="10">
        <v>0</v>
      </c>
      <c r="G149" s="10">
        <v>0</v>
      </c>
      <c r="H149" s="10">
        <f t="shared" si="36"/>
        <v>0</v>
      </c>
      <c r="L149" s="18"/>
      <c r="M149" s="18"/>
    </row>
    <row r="150" spans="1:13" x14ac:dyDescent="0.25">
      <c r="A150" s="15"/>
      <c r="B150" s="16" t="s">
        <v>76</v>
      </c>
      <c r="C150" s="10">
        <v>0</v>
      </c>
      <c r="D150" s="10">
        <v>0</v>
      </c>
      <c r="E150" s="10">
        <v>0</v>
      </c>
      <c r="F150" s="10">
        <v>0</v>
      </c>
      <c r="G150" s="10">
        <v>0</v>
      </c>
      <c r="H150" s="10">
        <f t="shared" si="36"/>
        <v>0</v>
      </c>
      <c r="L150" s="18"/>
      <c r="M150" s="18"/>
    </row>
    <row r="151" spans="1:13" x14ac:dyDescent="0.25">
      <c r="A151" s="32" t="s">
        <v>77</v>
      </c>
      <c r="B151" s="33"/>
      <c r="C151" s="10">
        <f>SUM(C152:C154)</f>
        <v>14133789</v>
      </c>
      <c r="D151" s="10">
        <f t="shared" ref="D151:G151" si="40">SUM(D152:D154)</f>
        <v>0</v>
      </c>
      <c r="E151" s="10">
        <f t="shared" si="40"/>
        <v>14133789</v>
      </c>
      <c r="F151" s="10">
        <f t="shared" si="40"/>
        <v>14136227.5</v>
      </c>
      <c r="G151" s="10">
        <f t="shared" si="40"/>
        <v>14136227.5</v>
      </c>
      <c r="H151" s="10">
        <f t="shared" si="36"/>
        <v>-2438.5</v>
      </c>
      <c r="L151" s="20"/>
    </row>
    <row r="152" spans="1:13" x14ac:dyDescent="0.25">
      <c r="A152" s="15"/>
      <c r="B152" s="16" t="s">
        <v>78</v>
      </c>
      <c r="C152" s="10">
        <v>0</v>
      </c>
      <c r="D152" s="10">
        <v>0</v>
      </c>
      <c r="E152" s="10">
        <v>0</v>
      </c>
      <c r="F152" s="10">
        <v>0</v>
      </c>
      <c r="G152" s="10">
        <v>0</v>
      </c>
      <c r="H152" s="10">
        <f t="shared" si="36"/>
        <v>0</v>
      </c>
    </row>
    <row r="153" spans="1:13" x14ac:dyDescent="0.25">
      <c r="A153" s="15"/>
      <c r="B153" s="16" t="s">
        <v>79</v>
      </c>
      <c r="C153" s="10">
        <f>4041963.1+9448704.7-462164.7-462164.7+1982.5+909893.2</f>
        <v>13478214.1</v>
      </c>
      <c r="D153" s="10">
        <v>0</v>
      </c>
      <c r="E153" s="10">
        <f>+C153+D153</f>
        <v>13478214.1</v>
      </c>
      <c r="F153" s="10">
        <v>13478214.1</v>
      </c>
      <c r="G153" s="10">
        <v>13478214.1</v>
      </c>
      <c r="H153" s="10">
        <f t="shared" si="36"/>
        <v>0</v>
      </c>
    </row>
    <row r="154" spans="1:13" x14ac:dyDescent="0.25">
      <c r="A154" s="15"/>
      <c r="B154" s="16" t="s">
        <v>80</v>
      </c>
      <c r="C154" s="10">
        <v>655574.9</v>
      </c>
      <c r="D154" s="10">
        <v>0</v>
      </c>
      <c r="E154" s="10">
        <f>+C154+D154</f>
        <v>655574.9</v>
      </c>
      <c r="F154" s="10">
        <v>658013.4</v>
      </c>
      <c r="G154" s="10">
        <v>658013.4</v>
      </c>
      <c r="H154" s="10">
        <f t="shared" si="36"/>
        <v>-2438.5</v>
      </c>
    </row>
    <row r="155" spans="1:13" x14ac:dyDescent="0.25">
      <c r="A155" s="32" t="s">
        <v>81</v>
      </c>
      <c r="B155" s="33"/>
      <c r="C155" s="10">
        <f>SUM(C156:C162)</f>
        <v>2047207.9</v>
      </c>
      <c r="D155" s="10">
        <f t="shared" ref="D155:F155" si="41">SUM(D156:D162)</f>
        <v>0</v>
      </c>
      <c r="E155" s="10">
        <f t="shared" si="41"/>
        <v>2047207.9</v>
      </c>
      <c r="F155" s="10">
        <f t="shared" si="41"/>
        <v>3315649.0999999996</v>
      </c>
      <c r="G155" s="10">
        <f>SUM(G156:G162)</f>
        <v>3315649.0999999996</v>
      </c>
      <c r="H155" s="10">
        <f>+E155-F155</f>
        <v>-1268441.1999999997</v>
      </c>
    </row>
    <row r="156" spans="1:13" x14ac:dyDescent="0.25">
      <c r="A156" s="15"/>
      <c r="B156" s="16" t="s">
        <v>82</v>
      </c>
      <c r="C156" s="10">
        <f>683641+178270.5-415163.6</f>
        <v>446747.9</v>
      </c>
      <c r="D156" s="10">
        <v>0</v>
      </c>
      <c r="E156" s="10">
        <f>+C156</f>
        <v>446747.9</v>
      </c>
      <c r="F156" s="19">
        <f>861911.5-800270.3</f>
        <v>61641.199999999953</v>
      </c>
      <c r="G156" s="19">
        <f>861911.5-800270.3</f>
        <v>61641.199999999953</v>
      </c>
      <c r="H156" s="10">
        <f t="shared" ref="H156:H162" si="42">+E156-F156</f>
        <v>385106.70000000007</v>
      </c>
    </row>
    <row r="157" spans="1:13" x14ac:dyDescent="0.25">
      <c r="A157" s="15"/>
      <c r="B157" s="16" t="s">
        <v>83</v>
      </c>
      <c r="C157" s="10">
        <f>3702810.5-544531+217029.3-1774848.8</f>
        <v>1600459.9999999998</v>
      </c>
      <c r="D157" s="10">
        <v>0</v>
      </c>
      <c r="E157" s="10">
        <f t="shared" ref="E157:E162" si="43">+C157</f>
        <v>1600459.9999999998</v>
      </c>
      <c r="F157" s="19">
        <f>3375308.8-121300.9</f>
        <v>3254007.9</v>
      </c>
      <c r="G157" s="19">
        <f>3375308.8-121300.9</f>
        <v>3254007.9</v>
      </c>
      <c r="H157" s="10">
        <f t="shared" si="42"/>
        <v>-1653547.9000000001</v>
      </c>
    </row>
    <row r="158" spans="1:13" x14ac:dyDescent="0.25">
      <c r="A158" s="15"/>
      <c r="B158" s="16" t="s">
        <v>84</v>
      </c>
      <c r="C158" s="10">
        <v>0</v>
      </c>
      <c r="D158" s="10">
        <v>0</v>
      </c>
      <c r="E158" s="10">
        <f t="shared" si="43"/>
        <v>0</v>
      </c>
      <c r="F158" s="10">
        <v>0</v>
      </c>
      <c r="G158" s="10">
        <v>0</v>
      </c>
      <c r="H158" s="10">
        <f t="shared" si="42"/>
        <v>0</v>
      </c>
    </row>
    <row r="159" spans="1:13" x14ac:dyDescent="0.25">
      <c r="A159" s="15"/>
      <c r="B159" s="16" t="s">
        <v>85</v>
      </c>
      <c r="C159" s="10">
        <v>0</v>
      </c>
      <c r="D159" s="10">
        <v>0</v>
      </c>
      <c r="E159" s="10">
        <f t="shared" si="43"/>
        <v>0</v>
      </c>
      <c r="F159" s="10">
        <v>0</v>
      </c>
      <c r="G159" s="10">
        <v>0</v>
      </c>
      <c r="H159" s="10">
        <f t="shared" si="42"/>
        <v>0</v>
      </c>
    </row>
    <row r="160" spans="1:13" x14ac:dyDescent="0.25">
      <c r="A160" s="15"/>
      <c r="B160" s="16" t="s">
        <v>86</v>
      </c>
      <c r="C160" s="10">
        <v>0</v>
      </c>
      <c r="D160" s="10">
        <v>0</v>
      </c>
      <c r="E160" s="10">
        <f t="shared" si="43"/>
        <v>0</v>
      </c>
      <c r="F160" s="10">
        <v>0</v>
      </c>
      <c r="G160" s="10">
        <v>0</v>
      </c>
      <c r="H160" s="10">
        <f t="shared" si="42"/>
        <v>0</v>
      </c>
    </row>
    <row r="161" spans="1:11" x14ac:dyDescent="0.25">
      <c r="A161" s="15"/>
      <c r="B161" s="16" t="s">
        <v>87</v>
      </c>
      <c r="C161" s="10">
        <v>0</v>
      </c>
      <c r="D161" s="10">
        <v>0</v>
      </c>
      <c r="E161" s="10">
        <f t="shared" si="43"/>
        <v>0</v>
      </c>
      <c r="F161" s="10">
        <v>0</v>
      </c>
      <c r="G161" s="10">
        <v>0</v>
      </c>
      <c r="H161" s="10">
        <f t="shared" si="42"/>
        <v>0</v>
      </c>
    </row>
    <row r="162" spans="1:11" x14ac:dyDescent="0.25">
      <c r="A162" s="15"/>
      <c r="B162" s="16" t="s">
        <v>88</v>
      </c>
      <c r="C162" s="10">
        <v>0</v>
      </c>
      <c r="D162" s="10">
        <v>0</v>
      </c>
      <c r="E162" s="10">
        <f t="shared" si="43"/>
        <v>0</v>
      </c>
      <c r="F162" s="10">
        <v>0</v>
      </c>
      <c r="G162" s="10">
        <v>0</v>
      </c>
      <c r="H162" s="10">
        <f t="shared" si="42"/>
        <v>0</v>
      </c>
    </row>
    <row r="163" spans="1:11" x14ac:dyDescent="0.25">
      <c r="A163" s="15"/>
      <c r="B163" s="16"/>
      <c r="C163" s="10"/>
      <c r="D163" s="10"/>
      <c r="E163" s="10"/>
      <c r="F163" s="10"/>
      <c r="G163" s="10"/>
      <c r="H163" s="10"/>
    </row>
    <row r="164" spans="1:11" x14ac:dyDescent="0.25">
      <c r="A164" s="30" t="s">
        <v>90</v>
      </c>
      <c r="B164" s="31"/>
      <c r="C164" s="12">
        <f>+C11+C89</f>
        <v>222418132.139</v>
      </c>
      <c r="D164" s="12">
        <f t="shared" ref="D164:H164" si="44">+D11+D89</f>
        <v>2236609.4734600019</v>
      </c>
      <c r="E164" s="12">
        <f t="shared" si="44"/>
        <v>224654741.61246002</v>
      </c>
      <c r="F164" s="12">
        <f t="shared" si="44"/>
        <v>237103604.09143001</v>
      </c>
      <c r="G164" s="12">
        <f t="shared" si="44"/>
        <v>234637027.89050996</v>
      </c>
      <c r="H164" s="12">
        <f t="shared" si="44"/>
        <v>-12448862.478970002</v>
      </c>
    </row>
    <row r="165" spans="1:11" x14ac:dyDescent="0.25">
      <c r="A165" s="2"/>
      <c r="B165" s="3"/>
      <c r="C165" s="4"/>
      <c r="D165" s="4"/>
      <c r="E165" s="4"/>
      <c r="F165" s="4"/>
      <c r="G165" s="4"/>
      <c r="H165" s="4"/>
    </row>
    <row r="167" spans="1:11" x14ac:dyDescent="0.25">
      <c r="C167" s="14"/>
      <c r="F167" s="27"/>
      <c r="G167" s="27"/>
      <c r="H167" s="14"/>
    </row>
    <row r="168" spans="1:11" x14ac:dyDescent="0.25">
      <c r="F168" s="27"/>
      <c r="G168" s="27"/>
      <c r="J168" s="18"/>
      <c r="K168" s="18"/>
    </row>
    <row r="169" spans="1:11" x14ac:dyDescent="0.25">
      <c r="C169" s="14"/>
      <c r="D169" s="14"/>
      <c r="E169" s="14"/>
      <c r="F169" s="28"/>
      <c r="G169" s="28"/>
      <c r="J169" s="18"/>
      <c r="K169" s="18"/>
    </row>
    <row r="170" spans="1:11" x14ac:dyDescent="0.25">
      <c r="J170" s="18"/>
      <c r="K170" s="18"/>
    </row>
    <row r="171" spans="1:11" x14ac:dyDescent="0.25">
      <c r="J171" s="18"/>
      <c r="K171" s="18"/>
    </row>
    <row r="172" spans="1:11" x14ac:dyDescent="0.25">
      <c r="J172" s="18"/>
      <c r="K172" s="18"/>
    </row>
    <row r="173" spans="1:11" x14ac:dyDescent="0.25">
      <c r="J173" s="18"/>
      <c r="K173" s="18"/>
    </row>
    <row r="176" spans="1:11" x14ac:dyDescent="0.25">
      <c r="C176" s="14"/>
      <c r="D176" s="14"/>
      <c r="E176" s="14"/>
      <c r="F176" s="14"/>
      <c r="G176" s="14"/>
      <c r="H176" s="14"/>
    </row>
    <row r="177" spans="3:13" x14ac:dyDescent="0.25">
      <c r="C177" s="14"/>
      <c r="D177" s="14"/>
      <c r="E177" s="14"/>
      <c r="F177" s="14"/>
      <c r="G177" s="14"/>
      <c r="H177" s="14"/>
    </row>
    <row r="178" spans="3:13" x14ac:dyDescent="0.25">
      <c r="C178" s="14"/>
      <c r="D178" s="14"/>
      <c r="E178" s="14"/>
      <c r="F178" s="14"/>
      <c r="G178" s="14"/>
      <c r="H178" s="14"/>
    </row>
    <row r="179" spans="3:13" x14ac:dyDescent="0.25">
      <c r="C179" s="14"/>
      <c r="D179" s="14"/>
      <c r="E179" s="14"/>
      <c r="F179" s="14"/>
      <c r="G179" s="14"/>
      <c r="H179" s="14"/>
      <c r="L179" s="14"/>
      <c r="M179" s="14"/>
    </row>
    <row r="180" spans="3:13" x14ac:dyDescent="0.25">
      <c r="C180" s="14"/>
      <c r="D180" s="14"/>
      <c r="E180" s="14"/>
      <c r="F180" s="14"/>
      <c r="G180" s="14"/>
      <c r="H180" s="14"/>
    </row>
    <row r="181" spans="3:13" x14ac:dyDescent="0.25">
      <c r="C181" s="14"/>
      <c r="D181" s="14"/>
      <c r="E181" s="14"/>
      <c r="F181" s="14"/>
      <c r="G181" s="14"/>
      <c r="H181" s="14"/>
      <c r="L181" s="14"/>
      <c r="M181" s="14"/>
    </row>
    <row r="182" spans="3:13" x14ac:dyDescent="0.25">
      <c r="C182" s="14"/>
      <c r="D182" s="14"/>
      <c r="E182" s="14"/>
      <c r="F182" s="14"/>
      <c r="G182" s="14"/>
      <c r="H182" s="14"/>
    </row>
    <row r="183" spans="3:13" x14ac:dyDescent="0.25">
      <c r="C183" s="14"/>
      <c r="D183" s="14"/>
      <c r="E183" s="14"/>
      <c r="F183" s="14"/>
      <c r="G183" s="14"/>
      <c r="H183" s="14"/>
    </row>
    <row r="184" spans="3:13" x14ac:dyDescent="0.25">
      <c r="C184" s="14"/>
      <c r="D184" s="14"/>
      <c r="E184" s="14"/>
      <c r="F184" s="14"/>
      <c r="G184" s="14"/>
      <c r="H184" s="14"/>
    </row>
    <row r="185" spans="3:13" x14ac:dyDescent="0.25">
      <c r="C185" s="21"/>
      <c r="D185" s="21"/>
      <c r="E185" s="21"/>
      <c r="F185" s="21"/>
      <c r="G185" s="21"/>
      <c r="H185" s="21"/>
    </row>
    <row r="187" spans="3:13" x14ac:dyDescent="0.25">
      <c r="C187" s="14"/>
      <c r="D187" s="14"/>
      <c r="E187" s="14"/>
      <c r="F187" s="14"/>
      <c r="G187" s="14"/>
      <c r="H187" s="14"/>
    </row>
    <row r="188" spans="3:13" x14ac:dyDescent="0.25">
      <c r="F188" s="22"/>
      <c r="G188" s="22"/>
    </row>
    <row r="189" spans="3:13" x14ac:dyDescent="0.25">
      <c r="F189" s="23"/>
      <c r="G189" s="23"/>
    </row>
    <row r="191" spans="3:13" x14ac:dyDescent="0.25">
      <c r="F191" s="20"/>
      <c r="G191" s="20"/>
    </row>
  </sheetData>
  <mergeCells count="32">
    <mergeCell ref="A12:B12"/>
    <mergeCell ref="A1:H1"/>
    <mergeCell ref="A2:H2"/>
    <mergeCell ref="A3:H3"/>
    <mergeCell ref="A4:H4"/>
    <mergeCell ref="A5:H5"/>
    <mergeCell ref="A7:H7"/>
    <mergeCell ref="A8:H8"/>
    <mergeCell ref="A9:B10"/>
    <mergeCell ref="C9:G9"/>
    <mergeCell ref="H9:H10"/>
    <mergeCell ref="A11:B11"/>
    <mergeCell ref="A6:H6"/>
    <mergeCell ref="A108:B108"/>
    <mergeCell ref="A21:B21"/>
    <mergeCell ref="A31:B31"/>
    <mergeCell ref="A41:B41"/>
    <mergeCell ref="A51:B51"/>
    <mergeCell ref="A61:B61"/>
    <mergeCell ref="A65:B65"/>
    <mergeCell ref="A74:B74"/>
    <mergeCell ref="A78:B78"/>
    <mergeCell ref="A89:B89"/>
    <mergeCell ref="A90:B90"/>
    <mergeCell ref="A98:B98"/>
    <mergeCell ref="A164:B164"/>
    <mergeCell ref="A118:B118"/>
    <mergeCell ref="A128:B128"/>
    <mergeCell ref="A138:B138"/>
    <mergeCell ref="A142:B142"/>
    <mergeCell ref="A151:B151"/>
    <mergeCell ref="A155:B155"/>
  </mergeCells>
  <pageMargins left="0.70866141732283472" right="0.70866141732283472" top="0.74803149606299213" bottom="0.74803149606299213" header="0.31496062992125984" footer="0.31496062992125984"/>
  <pageSetup scale="54" fitToHeight="2" orientation="portrait" r:id="rId1"/>
  <rowBreaks count="1" manualBreakCount="1">
    <brk id="8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11.4257812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11.425781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Hewlett-Packard Company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revision/>
  <cp:lastPrinted>2017-11-09T00:23:58Z</cp:lastPrinted>
  <dcterms:created xsi:type="dcterms:W3CDTF">2017-05-09T18:38:53Z</dcterms:created>
  <dcterms:modified xsi:type="dcterms:W3CDTF">2018-02-17T03:06:28Z</dcterms:modified>
</cp:coreProperties>
</file>