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90" windowHeight="7410"/>
  </bookViews>
  <sheets>
    <sheet name="Formato 6b" sheetId="7" r:id="rId1"/>
    <sheet name="Hoja1" sheetId="8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7" l="1"/>
  <c r="D55" i="7"/>
  <c r="D47" i="7"/>
  <c r="H44" i="7" l="1"/>
  <c r="G44" i="7"/>
  <c r="H45" i="7"/>
  <c r="G45" i="7"/>
  <c r="E24" i="7" l="1"/>
  <c r="F24" i="7"/>
  <c r="G24" i="7"/>
  <c r="H24" i="7"/>
  <c r="D24" i="7"/>
  <c r="E18" i="7"/>
  <c r="G18" i="7"/>
  <c r="H18" i="7"/>
  <c r="D18" i="7"/>
  <c r="E15" i="7"/>
  <c r="G15" i="7"/>
  <c r="H15" i="7"/>
  <c r="D15" i="7"/>
  <c r="E32" i="7"/>
  <c r="G32" i="7"/>
  <c r="H32" i="7"/>
  <c r="D32" i="7"/>
  <c r="E31" i="7"/>
  <c r="G31" i="7"/>
  <c r="H31" i="7"/>
  <c r="D31" i="7"/>
  <c r="E30" i="7"/>
  <c r="G30" i="7"/>
  <c r="H30" i="7"/>
  <c r="D30" i="7"/>
  <c r="E29" i="7"/>
  <c r="G29" i="7"/>
  <c r="H29" i="7"/>
  <c r="D29" i="7"/>
  <c r="E25" i="7"/>
  <c r="G25" i="7"/>
  <c r="H25" i="7"/>
  <c r="D25" i="7"/>
  <c r="E17" i="7"/>
  <c r="G17" i="7"/>
  <c r="H17" i="7"/>
  <c r="D17" i="7"/>
  <c r="E16" i="7"/>
  <c r="G16" i="7"/>
  <c r="H16" i="7"/>
  <c r="D16" i="7"/>
  <c r="E14" i="7"/>
  <c r="G14" i="7"/>
  <c r="H14" i="7"/>
  <c r="D14" i="7"/>
  <c r="D39" i="7"/>
  <c r="D38" i="7"/>
  <c r="D37" i="7"/>
  <c r="D36" i="7"/>
  <c r="D35" i="7"/>
  <c r="D34" i="7"/>
  <c r="D33" i="7"/>
  <c r="D28" i="7"/>
  <c r="D27" i="7"/>
  <c r="D26" i="7"/>
  <c r="D23" i="7"/>
  <c r="D22" i="7"/>
  <c r="D21" i="7"/>
  <c r="D20" i="7"/>
  <c r="D19" i="7"/>
  <c r="D13" i="7"/>
  <c r="F39" i="7"/>
  <c r="G39" i="7"/>
  <c r="H39" i="7"/>
  <c r="F38" i="7"/>
  <c r="G38" i="7"/>
  <c r="H38" i="7"/>
  <c r="F37" i="7"/>
  <c r="G37" i="7"/>
  <c r="H37" i="7"/>
  <c r="E39" i="7"/>
  <c r="E38" i="7"/>
  <c r="E37" i="7"/>
  <c r="F36" i="7"/>
  <c r="G36" i="7"/>
  <c r="H36" i="7"/>
  <c r="F35" i="7"/>
  <c r="G35" i="7"/>
  <c r="H35" i="7"/>
  <c r="F34" i="7"/>
  <c r="G34" i="7"/>
  <c r="H34" i="7"/>
  <c r="F33" i="7"/>
  <c r="G33" i="7"/>
  <c r="H33" i="7"/>
  <c r="F28" i="7"/>
  <c r="G28" i="7"/>
  <c r="H28" i="7"/>
  <c r="F27" i="7"/>
  <c r="G27" i="7"/>
  <c r="H27" i="7"/>
  <c r="F26" i="7"/>
  <c r="G26" i="7"/>
  <c r="H26" i="7"/>
  <c r="F23" i="7"/>
  <c r="G23" i="7"/>
  <c r="H23" i="7"/>
  <c r="F22" i="7"/>
  <c r="G22" i="7"/>
  <c r="H22" i="7"/>
  <c r="F21" i="7"/>
  <c r="G21" i="7"/>
  <c r="H21" i="7"/>
  <c r="F20" i="7"/>
  <c r="G20" i="7"/>
  <c r="H20" i="7"/>
  <c r="F19" i="7"/>
  <c r="G19" i="7"/>
  <c r="H19" i="7"/>
  <c r="F13" i="7"/>
  <c r="G13" i="7"/>
  <c r="H13" i="7"/>
  <c r="C42" i="8"/>
  <c r="E36" i="7"/>
  <c r="E35" i="7"/>
  <c r="E34" i="7"/>
  <c r="E33" i="7"/>
  <c r="E28" i="7"/>
  <c r="E27" i="7"/>
  <c r="E26" i="7"/>
  <c r="E23" i="7"/>
  <c r="E22" i="7"/>
  <c r="E21" i="7"/>
  <c r="E20" i="7"/>
  <c r="E19" i="7"/>
  <c r="E13" i="7"/>
  <c r="D11" i="7" l="1"/>
  <c r="C36" i="8"/>
  <c r="D36" i="8" s="1"/>
  <c r="G36" i="8" s="1"/>
  <c r="G35" i="8"/>
  <c r="D35" i="8"/>
  <c r="D34" i="8"/>
  <c r="G34" i="8" s="1"/>
  <c r="C33" i="8"/>
  <c r="D33" i="8" s="1"/>
  <c r="G33" i="8" s="1"/>
  <c r="D32" i="8"/>
  <c r="G32" i="8" s="1"/>
  <c r="C32" i="8"/>
  <c r="C31" i="8"/>
  <c r="D31" i="8" s="1"/>
  <c r="G31" i="8" s="1"/>
  <c r="C30" i="8"/>
  <c r="D30" i="8" s="1"/>
  <c r="G30" i="8" s="1"/>
  <c r="F29" i="8"/>
  <c r="E29" i="8"/>
  <c r="C29" i="8"/>
  <c r="D29" i="8" s="1"/>
  <c r="G29" i="8" s="1"/>
  <c r="F28" i="8"/>
  <c r="E28" i="8"/>
  <c r="D28" i="8"/>
  <c r="G28" i="8" s="1"/>
  <c r="C28" i="8"/>
  <c r="B28" i="8"/>
  <c r="F27" i="8"/>
  <c r="E27" i="8"/>
  <c r="C27" i="8"/>
  <c r="D27" i="8" s="1"/>
  <c r="G27" i="8" s="1"/>
  <c r="F26" i="8"/>
  <c r="E26" i="8"/>
  <c r="C26" i="8"/>
  <c r="D26" i="8" s="1"/>
  <c r="G26" i="8" s="1"/>
  <c r="B26" i="8"/>
  <c r="F25" i="8"/>
  <c r="E25" i="8"/>
  <c r="C25" i="8"/>
  <c r="B25" i="8"/>
  <c r="D25" i="8" s="1"/>
  <c r="G25" i="8" s="1"/>
  <c r="C24" i="8"/>
  <c r="D24" i="8" s="1"/>
  <c r="G24" i="8" s="1"/>
  <c r="D23" i="8"/>
  <c r="G23" i="8" s="1"/>
  <c r="C23" i="8"/>
  <c r="F22" i="8"/>
  <c r="E22" i="8"/>
  <c r="C22" i="8"/>
  <c r="D22" i="8" s="1"/>
  <c r="G22" i="8" s="1"/>
  <c r="F21" i="8"/>
  <c r="E21" i="8"/>
  <c r="C21" i="8"/>
  <c r="B21" i="8"/>
  <c r="D21" i="8" s="1"/>
  <c r="G21" i="8" s="1"/>
  <c r="C20" i="8"/>
  <c r="D20" i="8" s="1"/>
  <c r="G20" i="8" s="1"/>
  <c r="B19" i="8"/>
  <c r="D19" i="8" s="1"/>
  <c r="G19" i="8" s="1"/>
  <c r="F18" i="8"/>
  <c r="E18" i="8"/>
  <c r="C18" i="8"/>
  <c r="B18" i="8"/>
  <c r="D18" i="8" s="1"/>
  <c r="G18" i="8" s="1"/>
  <c r="F17" i="8"/>
  <c r="E17" i="8"/>
  <c r="D17" i="8"/>
  <c r="G17" i="8" s="1"/>
  <c r="C17" i="8"/>
  <c r="B17" i="8"/>
  <c r="F16" i="8"/>
  <c r="E16" i="8"/>
  <c r="C16" i="8"/>
  <c r="B16" i="8"/>
  <c r="D16" i="8" s="1"/>
  <c r="G16" i="8" s="1"/>
  <c r="F15" i="8"/>
  <c r="E15" i="8"/>
  <c r="D15" i="8"/>
  <c r="G15" i="8" s="1"/>
  <c r="C15" i="8"/>
  <c r="B15" i="8"/>
  <c r="F14" i="8"/>
  <c r="E14" i="8"/>
  <c r="C14" i="8"/>
  <c r="B14" i="8"/>
  <c r="D14" i="8" s="1"/>
  <c r="G14" i="8" s="1"/>
  <c r="F13" i="8"/>
  <c r="E13" i="8"/>
  <c r="D13" i="8"/>
  <c r="G13" i="8" s="1"/>
  <c r="C13" i="8"/>
  <c r="B13" i="8"/>
  <c r="F12" i="8"/>
  <c r="F38" i="8" s="1"/>
  <c r="E12" i="8"/>
  <c r="C12" i="8"/>
  <c r="C38" i="8" s="1"/>
  <c r="B12" i="8"/>
  <c r="D12" i="8" s="1"/>
  <c r="G12" i="8" s="1"/>
  <c r="F11" i="8"/>
  <c r="E11" i="8"/>
  <c r="E38" i="8" s="1"/>
  <c r="D11" i="8"/>
  <c r="G11" i="8" s="1"/>
  <c r="C11" i="8"/>
  <c r="B11" i="8"/>
  <c r="D10" i="8"/>
  <c r="D38" i="8" l="1"/>
  <c r="B38" i="8"/>
  <c r="G10" i="8"/>
  <c r="G38" i="8" s="1"/>
  <c r="I39" i="7" l="1"/>
  <c r="I38" i="7"/>
  <c r="I37" i="7"/>
  <c r="I36" i="7"/>
  <c r="I28" i="7"/>
  <c r="I27" i="7"/>
  <c r="I26" i="7"/>
  <c r="I23" i="7"/>
  <c r="I22" i="7"/>
  <c r="I21" i="7"/>
  <c r="I20" i="7"/>
  <c r="I19" i="7"/>
  <c r="I13" i="7"/>
  <c r="I24" i="7" l="1"/>
  <c r="G41" i="7"/>
  <c r="F62" i="7" l="1"/>
  <c r="F47" i="7"/>
  <c r="I66" i="7"/>
  <c r="I56" i="7"/>
  <c r="F69" i="7"/>
  <c r="I69" i="7" s="1"/>
  <c r="F68" i="7"/>
  <c r="I68" i="7" s="1"/>
  <c r="F67" i="7"/>
  <c r="I67" i="7" s="1"/>
  <c r="F66" i="7"/>
  <c r="F61" i="7"/>
  <c r="F60" i="7"/>
  <c r="F59" i="7"/>
  <c r="F58" i="7"/>
  <c r="I58" i="7" s="1"/>
  <c r="F57" i="7"/>
  <c r="I57" i="7" s="1"/>
  <c r="F56" i="7"/>
  <c r="F55" i="7"/>
  <c r="I54" i="7"/>
  <c r="F53" i="7"/>
  <c r="I53" i="7" s="1"/>
  <c r="F52" i="7"/>
  <c r="I52" i="7" s="1"/>
  <c r="F51" i="7"/>
  <c r="I51" i="7" s="1"/>
  <c r="F50" i="7"/>
  <c r="I50" i="7" s="1"/>
  <c r="F49" i="7"/>
  <c r="I49" i="7" s="1"/>
  <c r="F48" i="7"/>
  <c r="F46" i="7"/>
  <c r="F45" i="7"/>
  <c r="F44" i="7"/>
  <c r="F43" i="7"/>
  <c r="I43" i="7" s="1"/>
  <c r="I46" i="7" l="1"/>
  <c r="F16" i="7"/>
  <c r="I16" i="7" s="1"/>
  <c r="I55" i="7"/>
  <c r="F25" i="7"/>
  <c r="I25" i="7" s="1"/>
  <c r="I59" i="7"/>
  <c r="F29" i="7"/>
  <c r="I29" i="7" s="1"/>
  <c r="I48" i="7"/>
  <c r="F18" i="7"/>
  <c r="I18" i="7" s="1"/>
  <c r="I60" i="7"/>
  <c r="F30" i="7"/>
  <c r="I30" i="7" s="1"/>
  <c r="I44" i="7"/>
  <c r="F14" i="7"/>
  <c r="I14" i="7" s="1"/>
  <c r="I61" i="7"/>
  <c r="F31" i="7"/>
  <c r="I31" i="7" s="1"/>
  <c r="I47" i="7"/>
  <c r="F17" i="7"/>
  <c r="I17" i="7" s="1"/>
  <c r="I45" i="7"/>
  <c r="F15" i="7"/>
  <c r="I15" i="7" s="1"/>
  <c r="I62" i="7"/>
  <c r="F32" i="7"/>
  <c r="I32" i="7" s="1"/>
  <c r="H11" i="7"/>
  <c r="G11" i="7"/>
  <c r="G71" i="7" s="1"/>
  <c r="E11" i="7"/>
  <c r="D41" i="7"/>
  <c r="D71" i="7" s="1"/>
  <c r="H41" i="7"/>
  <c r="F41" i="7"/>
  <c r="E41" i="7"/>
  <c r="F11" i="7" l="1"/>
  <c r="F71" i="7" s="1"/>
  <c r="I11" i="7"/>
  <c r="I41" i="7"/>
  <c r="E71" i="7"/>
  <c r="H71" i="7"/>
  <c r="I71" i="7" l="1"/>
</calcChain>
</file>

<file path=xl/sharedStrings.xml><?xml version="1.0" encoding="utf-8"?>
<sst xmlns="http://schemas.openxmlformats.org/spreadsheetml/2006/main" count="116" uniqueCount="85">
  <si>
    <t>Formato 6 b) Estado Analítico del Ejercicio del Presupuesto de Egresos Detallado - LDF</t>
  </si>
  <si>
    <t>(Clasificación Administrativa)</t>
  </si>
  <si>
    <t>Gobierno del Estado de México</t>
  </si>
  <si>
    <t>Estado Analítico del Ejercicio del Presupuesto de Egresos Detallado - LDF</t>
  </si>
  <si>
    <t>Clasificación Administrativa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</si>
  <si>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</si>
  <si>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</si>
  <si>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</si>
  <si>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</si>
  <si>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</si>
  <si>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</si>
  <si>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</si>
  <si>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</si>
  <si>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</si>
  <si>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A. GUBERNATURA</t>
  </si>
  <si>
    <t>B. SECRETARÍA GENERAL DE GOBIERNO</t>
  </si>
  <si>
    <t>C.SECRETARÍA DE FINANZAS</t>
  </si>
  <si>
    <t>D. SECRETARÍA DEL TRABAJO</t>
  </si>
  <si>
    <t>E. SECRETARÍA DE EDUCACIÓN</t>
  </si>
  <si>
    <t>F. SECRETARÍA DE DESARROLLO AGROPECUARIO</t>
  </si>
  <si>
    <t>G. SECRETARÍA DE DESARROLLO ECONOMICO</t>
  </si>
  <si>
    <t>H. SECRETARÍA DE LA CONTRALORIA</t>
  </si>
  <si>
    <t>I. SECRETARÍA DEL MEDIO AMBIENTE</t>
  </si>
  <si>
    <t>J. PROCURADORIA GENERAL DE JUSTICIA</t>
  </si>
  <si>
    <t>K. COORDINACIÓN GENERAL DE COMUNICACIÓN SOCIAL</t>
  </si>
  <si>
    <t>L. SECRETARÍA DE DESARROLLO SOCIAL</t>
  </si>
  <si>
    <t>M. SECRETARÍA DE SALUD</t>
  </si>
  <si>
    <t>N. SECRETARÍA TÉCNICA DEL GABINETE</t>
  </si>
  <si>
    <t>Ñ. SECRETARÍA DE MOVILIDAD</t>
  </si>
  <si>
    <t>O SECRETARÍA DE DESARROLLO URBANO  Y METROPOLITANO</t>
  </si>
  <si>
    <t>P. SECRETARÍA DE TURISMO</t>
  </si>
  <si>
    <t>Q. CONSEJERIA JURIDICA DEL EJECUTIVO ESTATAL</t>
  </si>
  <si>
    <t>R. SECRETARÍA DE CULTURA</t>
  </si>
  <si>
    <t>S. SECRETARÍA DE INFRAESTRUCTURA</t>
  </si>
  <si>
    <t>III. Total de Egresos (III = I + II)</t>
  </si>
  <si>
    <t>Del 1 de enero al 30 de septiembre 2017 (b)</t>
  </si>
  <si>
    <t>Estado Analítico  del Ejercicio del Presupuesto de Egresos</t>
  </si>
  <si>
    <t>Cifras Preliminares</t>
  </si>
  <si>
    <t>Del 1 de enero al 31 de diciembre de 2017</t>
  </si>
  <si>
    <t>( Miles de pesos )</t>
  </si>
  <si>
    <t>Concepto</t>
  </si>
  <si>
    <t>Aprobado</t>
  </si>
  <si>
    <t>Ampliaciones / (Reducciones )</t>
  </si>
  <si>
    <t>Subejercicio</t>
  </si>
  <si>
    <t>3= (1+2)</t>
  </si>
  <si>
    <t>6= (3-4)</t>
  </si>
  <si>
    <t>Gubernatura</t>
  </si>
  <si>
    <t>Secretaria General de Gobierno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</si>
  <si>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</si>
  <si>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</si>
  <si>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</si>
  <si>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</si>
  <si>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</si>
  <si>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</si>
  <si>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</si>
  <si>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Procuraduría General de Justicia</t>
  </si>
  <si>
    <t>Coordinación General de Comunicación Social</t>
  </si>
  <si>
    <t>Secretaría de Desarrollo Social</t>
  </si>
  <si>
    <t>Secretaría de Salud</t>
  </si>
  <si>
    <t>Secretaría Técnica del Gabinete</t>
  </si>
  <si>
    <t>Secretaría de Movilidad</t>
  </si>
  <si>
    <t>Secretaría de Desarrollo Urbano y Metropolitano</t>
  </si>
  <si>
    <t>Secretaría de Turismo</t>
  </si>
  <si>
    <t>Consejería Jurídica del Ejecutivo Estatal</t>
  </si>
  <si>
    <t>Secretaría de Cultura</t>
  </si>
  <si>
    <t>Secretaría de Infraestructura</t>
  </si>
  <si>
    <t>Secretaría de Obra Pública</t>
  </si>
  <si>
    <t>Secretaría de Comunicaciones</t>
  </si>
  <si>
    <t>Secretaria de Justicia y Derechos Humanos</t>
  </si>
  <si>
    <t>Tribunal de lo Contencioso Administrativo</t>
  </si>
  <si>
    <t>Junta Local de Conciliación y Arbitraje Valle de Toluca</t>
  </si>
  <si>
    <t>Tribunal Estatal de Conciliación y Arbitraje</t>
  </si>
  <si>
    <t>Junta Local de Conciliación y Arbitraje del Valle de Cuautitlán Texcoco</t>
  </si>
  <si>
    <t>Total</t>
  </si>
  <si>
    <t>T: SECRETARIA DE OBRA PUBLICA</t>
  </si>
  <si>
    <t xml:space="preserve">U: SECRETARIA DE COMUNICACIONES </t>
  </si>
  <si>
    <t>V: SECRETARIA DE JUSTICIA Y DERECHOS HUMANOS</t>
  </si>
  <si>
    <t>W. TRIBUNAL DE LO CONTENCIOSO AEDMINISTRATIVO</t>
  </si>
  <si>
    <t>X. JUNTA LOCAL DE CONCILIACIÓN Y ARBITRAJE VALLE DE TOLUCA</t>
  </si>
  <si>
    <t>Y. JUNTA LOCAL DE CONCILIACIÓN  Y ARBITRAJE DEL VALLE DE CUAUTITLAN TEXCOCO</t>
  </si>
  <si>
    <t>Z.TRIBUNAL ESTATAL DE CONCILIACIÓN Y ARBITRAJE</t>
  </si>
  <si>
    <t>I. Gasto No Etiquetado
(I=A+B+C+D+E+F+G+H+I+J+K+L+M+N+Ñ+O+P+Q+R+S+T+U+V+W+X+Y+Z)</t>
  </si>
  <si>
    <t>W. TRIBUNAL DE LO CONTENCIOSO ADMINISTRATIVO</t>
  </si>
  <si>
    <t>II. Gasto Etiquetado
(II=A+B+C+D+E+F+G+H+I+J+K+L+M+N+Ñ+O+P+Q+R+S+T+U+V+W+X+Y+Z)</t>
  </si>
  <si>
    <t>Cifras Preeliminares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</si>
</sst>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#,##0.0_ ;\-#,##0.0\ "/>
    <numFmt numFmtId="166" formatCode="_-* #,##0.0\ _P_t_s_-;\-* #,##0.0\ _P_t_s_-;_-* &quot;-&quot;??\ _P_t_s_-;_-@_-"/>
  </numFmts>
  <fonts count="12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Helvetica"/>
      <family val="2"/>
    </font>
    <font>
      <sz val="10"/>
      <name val="Helvetica"/>
      <family val="2"/>
    </font>
    <font>
      <sz val="10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3" fillId="0" borderId="5" xfId="0" applyFont="1" applyBorder="1"/>
    <xf numFmtId="0" fontId="1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2" fillId="0" borderId="6" xfId="0" applyFont="1" applyBorder="1" applyAlignment="1">
      <alignment horizontal="left" vertical="center" wrapText="1"/>
    </xf>
    <xf numFmtId="0" fontId="6" fillId="0" borderId="0" xfId="0" applyFont="1"/>
    <xf numFmtId="4" fontId="6" fillId="0" borderId="0" xfId="0" applyNumberFormat="1" applyFont="1"/>
    <xf numFmtId="43" fontId="6" fillId="0" borderId="0" xfId="1" applyFont="1"/>
    <xf numFmtId="43" fontId="6" fillId="0" borderId="0" xfId="0" applyNumberFormat="1" applyFont="1"/>
    <xf numFmtId="164" fontId="1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6" fillId="0" borderId="0" xfId="1" applyNumberFormat="1" applyFont="1"/>
    <xf numFmtId="43" fontId="3" fillId="0" borderId="0" xfId="0" applyNumberFormat="1" applyFont="1"/>
    <xf numFmtId="0" fontId="6" fillId="0" borderId="0" xfId="0" applyFont="1" applyAlignment="1">
      <alignment horizontal="right"/>
    </xf>
    <xf numFmtId="43" fontId="7" fillId="0" borderId="0" xfId="1" applyFont="1"/>
    <xf numFmtId="164" fontId="6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43" fontId="7" fillId="0" borderId="0" xfId="1" applyFont="1" applyFill="1"/>
    <xf numFmtId="164" fontId="8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/>
    <xf numFmtId="0" fontId="10" fillId="0" borderId="0" xfId="0" applyFont="1"/>
    <xf numFmtId="0" fontId="11" fillId="0" borderId="20" xfId="0" applyFont="1" applyFill="1" applyBorder="1"/>
    <xf numFmtId="0" fontId="11" fillId="0" borderId="21" xfId="0" applyFont="1" applyFill="1" applyBorder="1"/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/>
    <xf numFmtId="0" fontId="9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49" fontId="11" fillId="0" borderId="21" xfId="0" applyNumberFormat="1" applyFont="1" applyBorder="1"/>
    <xf numFmtId="164" fontId="11" fillId="0" borderId="0" xfId="0" applyNumberFormat="1" applyFont="1" applyBorder="1"/>
    <xf numFmtId="164" fontId="11" fillId="0" borderId="20" xfId="0" applyNumberFormat="1" applyFont="1" applyBorder="1"/>
    <xf numFmtId="164" fontId="11" fillId="0" borderId="21" xfId="0" applyNumberFormat="1" applyFont="1" applyBorder="1"/>
    <xf numFmtId="164" fontId="11" fillId="0" borderId="13" xfId="0" applyNumberFormat="1" applyFont="1" applyBorder="1"/>
    <xf numFmtId="164" fontId="11" fillId="0" borderId="21" xfId="1" applyNumberFormat="1" applyFont="1" applyBorder="1"/>
    <xf numFmtId="164" fontId="11" fillId="0" borderId="16" xfId="1" applyNumberFormat="1" applyFont="1" applyBorder="1"/>
    <xf numFmtId="164" fontId="11" fillId="0" borderId="21" xfId="1" applyNumberFormat="1" applyFont="1" applyFill="1" applyBorder="1"/>
    <xf numFmtId="164" fontId="11" fillId="0" borderId="16" xfId="1" applyNumberFormat="1" applyFont="1" applyFill="1" applyBorder="1"/>
    <xf numFmtId="49" fontId="11" fillId="0" borderId="21" xfId="0" applyNumberFormat="1" applyFont="1" applyBorder="1" applyAlignment="1">
      <alignment horizontal="center"/>
    </xf>
    <xf numFmtId="164" fontId="10" fillId="0" borderId="0" xfId="0" applyNumberFormat="1" applyFont="1"/>
    <xf numFmtId="49" fontId="9" fillId="0" borderId="24" xfId="0" applyNumberFormat="1" applyFont="1" applyFill="1" applyBorder="1" applyAlignment="1">
      <alignment horizontal="right"/>
    </xf>
    <xf numFmtId="164" fontId="9" fillId="0" borderId="24" xfId="0" applyNumberFormat="1" applyFont="1" applyFill="1" applyBorder="1"/>
    <xf numFmtId="164" fontId="9" fillId="0" borderId="23" xfId="0" applyNumberFormat="1" applyFont="1" applyFill="1" applyBorder="1"/>
    <xf numFmtId="0" fontId="11" fillId="0" borderId="0" xfId="0" applyFont="1"/>
    <xf numFmtId="164" fontId="11" fillId="0" borderId="0" xfId="0" applyNumberFormat="1" applyFont="1"/>
    <xf numFmtId="43" fontId="11" fillId="0" borderId="0" xfId="1" applyFont="1"/>
    <xf numFmtId="43" fontId="10" fillId="0" borderId="0" xfId="1" applyFont="1"/>
    <xf numFmtId="166" fontId="10" fillId="0" borderId="0" xfId="0" applyNumberFormat="1" applyFont="1"/>
    <xf numFmtId="43" fontId="10" fillId="0" borderId="0" xfId="1" applyFont="1" applyAlignment="1">
      <alignment horizontal="right"/>
    </xf>
    <xf numFmtId="43" fontId="10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view="pageBreakPreview" zoomScale="178" zoomScaleNormal="130" zoomScaleSheetLayoutView="178" workbookViewId="0">
      <selection activeCell="I15" sqref="I15"/>
    </sheetView>
  </sheetViews>
  <sheetFormatPr baseColWidth="10" defaultColWidth="0" defaultRowHeight="14.25" zeroHeight="1" x14ac:dyDescent="0.2"/>
  <cols>
    <col min="1" max="2" width="2.7109375" style="1" customWidth="1"/>
    <col min="3" max="3" width="37.85546875" style="1" customWidth="1"/>
    <col min="4" max="4" width="18.7109375" style="1" customWidth="1"/>
    <col min="5" max="5" width="14" style="1" customWidth="1"/>
    <col min="6" max="6" width="13.42578125" style="1" customWidth="1"/>
    <col min="7" max="7" width="16.28515625" style="1" bestFit="1" customWidth="1"/>
    <col min="8" max="8" width="19" style="1" customWidth="1"/>
    <col min="9" max="9" width="13.28515625" style="1" customWidth="1"/>
    <col min="10" max="10" width="0.85546875" style="1" customWidth="1"/>
    <col min="11" max="16384" width="11.42578125" style="1" hidden="1"/>
  </cols>
  <sheetData>
    <row r="1" spans="2:10" ht="15" x14ac:dyDescent="0.2">
      <c r="B1" s="70" t="s">
        <v>0</v>
      </c>
      <c r="C1" s="71"/>
      <c r="D1" s="71"/>
      <c r="E1" s="71"/>
      <c r="F1" s="71"/>
      <c r="G1" s="71"/>
      <c r="H1" s="71"/>
      <c r="I1" s="72"/>
    </row>
    <row r="2" spans="2:10" ht="15" x14ac:dyDescent="0.25">
      <c r="B2" s="76" t="s">
        <v>1</v>
      </c>
      <c r="C2" s="77"/>
      <c r="D2" s="77"/>
      <c r="E2" s="77"/>
      <c r="F2" s="77"/>
      <c r="G2" s="77"/>
      <c r="H2" s="77"/>
      <c r="I2" s="78"/>
    </row>
    <row r="3" spans="2:10" ht="14.1" customHeight="1" x14ac:dyDescent="0.2">
      <c r="B3" s="81" t="s">
        <v>2</v>
      </c>
      <c r="C3" s="82"/>
      <c r="D3" s="82"/>
      <c r="E3" s="82"/>
      <c r="F3" s="82"/>
      <c r="G3" s="82"/>
      <c r="H3" s="82"/>
      <c r="I3" s="83"/>
    </row>
    <row r="4" spans="2:10" ht="14.1" customHeight="1" x14ac:dyDescent="0.2">
      <c r="B4" s="84" t="s">
        <v>3</v>
      </c>
      <c r="C4" s="85"/>
      <c r="D4" s="85"/>
      <c r="E4" s="85"/>
      <c r="F4" s="85"/>
      <c r="G4" s="85"/>
      <c r="H4" s="85"/>
      <c r="I4" s="86"/>
    </row>
    <row r="5" spans="2:10" ht="14.1" customHeight="1" x14ac:dyDescent="0.2">
      <c r="B5" s="84" t="s">
        <v>84</v>
      </c>
      <c r="C5" s="85"/>
      <c r="D5" s="85"/>
      <c r="E5" s="85"/>
      <c r="F5" s="85"/>
      <c r="G5" s="85"/>
      <c r="H5" s="85"/>
      <c r="I5" s="86"/>
    </row>
    <row r="6" spans="2:10" ht="14.1" customHeight="1" x14ac:dyDescent="0.2">
      <c r="B6" s="84" t="s">
        <v>35</v>
      </c>
      <c r="C6" s="85"/>
      <c r="D6" s="85"/>
      <c r="E6" s="85"/>
      <c r="F6" s="85"/>
      <c r="G6" s="85"/>
      <c r="H6" s="85"/>
      <c r="I6" s="86"/>
    </row>
    <row r="7" spans="2:10" ht="14.1" customHeight="1" x14ac:dyDescent="0.2">
      <c r="B7" s="87" t="s">
        <v>5</v>
      </c>
      <c r="C7" s="88"/>
      <c r="D7" s="88"/>
      <c r="E7" s="88"/>
      <c r="F7" s="88"/>
      <c r="G7" s="88"/>
      <c r="H7" s="88"/>
      <c r="I7" s="89"/>
    </row>
    <row r="8" spans="2:10" ht="15" customHeight="1" x14ac:dyDescent="0.2">
      <c r="B8" s="75" t="s">
        <v>6</v>
      </c>
      <c r="C8" s="75"/>
      <c r="D8" s="75" t="s">
        <v>7</v>
      </c>
      <c r="E8" s="75"/>
      <c r="F8" s="75"/>
      <c r="G8" s="75"/>
      <c r="H8" s="75"/>
      <c r="I8" s="75" t="s">
        <v>8</v>
      </c>
    </row>
    <row r="9" spans="2:10" ht="21" customHeight="1" x14ac:dyDescent="0.2">
      <c r="B9" s="75"/>
      <c r="C9" s="75"/>
      <c r="D9" s="21" t="s">
        <v>9</v>
      </c>
      <c r="E9" s="21" t="s">
        <v>10</v>
      </c>
      <c r="F9" s="21" t="s">
        <v>11</v>
      </c>
      <c r="G9" s="21" t="s">
        <v>12</v>
      </c>
      <c r="H9" s="21" t="s">
        <v>13</v>
      </c>
      <c r="I9" s="75"/>
    </row>
    <row r="10" spans="2:10" ht="8.1" customHeight="1" x14ac:dyDescent="0.2">
      <c r="B10" s="79"/>
      <c r="C10" s="80"/>
      <c r="D10" s="3"/>
      <c r="E10" s="3"/>
      <c r="F10" s="3"/>
      <c r="G10" s="3"/>
      <c r="H10" s="3"/>
      <c r="I10" s="3"/>
    </row>
    <row r="11" spans="2:10" ht="30" customHeight="1" x14ac:dyDescent="0.2">
      <c r="B11" s="68" t="s">
        <v>81</v>
      </c>
      <c r="C11" s="69"/>
      <c r="D11" s="10">
        <f t="shared" ref="D11:I11" si="0">SUM(D13:D39)</f>
        <v>92068918.099999964</v>
      </c>
      <c r="E11" s="10">
        <f t="shared" si="0"/>
        <v>-983082.299999999</v>
      </c>
      <c r="F11" s="10">
        <f t="shared" si="0"/>
        <v>91086023.899999991</v>
      </c>
      <c r="G11" s="10">
        <f t="shared" si="0"/>
        <v>97585234.099999994</v>
      </c>
      <c r="H11" s="10">
        <f t="shared" si="0"/>
        <v>92814725.5</v>
      </c>
      <c r="I11" s="10">
        <f t="shared" si="0"/>
        <v>-6572552.7000000319</v>
      </c>
    </row>
    <row r="12" spans="2:10" ht="8.1" customHeight="1" x14ac:dyDescent="0.2">
      <c r="B12" s="68"/>
      <c r="C12" s="69"/>
      <c r="D12" s="11"/>
      <c r="E12" s="11"/>
      <c r="F12" s="11"/>
      <c r="G12" s="11"/>
      <c r="H12" s="11"/>
      <c r="I12" s="11"/>
    </row>
    <row r="13" spans="2:10" x14ac:dyDescent="0.2">
      <c r="B13" s="2"/>
      <c r="C13" s="5" t="s">
        <v>14</v>
      </c>
      <c r="D13" s="12">
        <f>+Hoja1!B10</f>
        <v>43759.1</v>
      </c>
      <c r="E13" s="12">
        <f>+Hoja1!C10</f>
        <v>1927.3</v>
      </c>
      <c r="F13" s="12">
        <f>+Hoja1!D10</f>
        <v>45686.400000000001</v>
      </c>
      <c r="G13" s="12">
        <f>+Hoja1!E10</f>
        <v>24140.400000000001</v>
      </c>
      <c r="H13" s="12">
        <f>+Hoja1!F10</f>
        <v>23202</v>
      </c>
      <c r="I13" s="12">
        <f>+F13-G13</f>
        <v>21546</v>
      </c>
      <c r="J13" s="4"/>
    </row>
    <row r="14" spans="2:10" x14ac:dyDescent="0.2">
      <c r="B14" s="2"/>
      <c r="C14" s="5" t="s">
        <v>15</v>
      </c>
      <c r="D14" s="12">
        <f>+Hoja1!B11-D44</f>
        <v>11859083.300000001</v>
      </c>
      <c r="E14" s="12">
        <f>+Hoja1!C11-E44</f>
        <v>49793.300000000017</v>
      </c>
      <c r="F14" s="12">
        <f>+Hoja1!D11-F44</f>
        <v>11908876.600000001</v>
      </c>
      <c r="G14" s="12">
        <f>+Hoja1!E11-G44</f>
        <v>11853630.4</v>
      </c>
      <c r="H14" s="12">
        <f>+Hoja1!F11-H44</f>
        <v>10993733.199999999</v>
      </c>
      <c r="I14" s="12">
        <f t="shared" ref="I14:I39" si="1">+F14-G14</f>
        <v>55246.200000001118</v>
      </c>
      <c r="J14" s="4"/>
    </row>
    <row r="15" spans="2:10" x14ac:dyDescent="0.2">
      <c r="B15" s="2"/>
      <c r="C15" s="5" t="s">
        <v>16</v>
      </c>
      <c r="D15" s="12">
        <f>+Hoja1!B12-D45</f>
        <v>11051951.6</v>
      </c>
      <c r="E15" s="12">
        <f>+Hoja1!C12-E45</f>
        <v>290442.40000000002</v>
      </c>
      <c r="F15" s="12">
        <f>+Hoja1!D12-F45</f>
        <v>11342394</v>
      </c>
      <c r="G15" s="12">
        <f>+Hoja1!E12-G45</f>
        <v>11103124.100000001</v>
      </c>
      <c r="H15" s="12">
        <f>+Hoja1!F12-H45</f>
        <v>10003659.400000002</v>
      </c>
      <c r="I15" s="12">
        <f t="shared" si="1"/>
        <v>239269.89999999851</v>
      </c>
      <c r="J15" s="4"/>
    </row>
    <row r="16" spans="2:10" x14ac:dyDescent="0.2">
      <c r="B16" s="2"/>
      <c r="C16" s="5" t="s">
        <v>17</v>
      </c>
      <c r="D16" s="12">
        <f>+Hoja1!B13-D46</f>
        <v>487446.79999999993</v>
      </c>
      <c r="E16" s="12">
        <f>+Hoja1!C13-E46</f>
        <v>43442.2</v>
      </c>
      <c r="F16" s="12">
        <f>+Hoja1!D13-F46</f>
        <v>530888.99999999988</v>
      </c>
      <c r="G16" s="12">
        <f>+Hoja1!E13-G46</f>
        <v>338096.4</v>
      </c>
      <c r="H16" s="12">
        <f>+Hoja1!F13-H46</f>
        <v>297812.09999999998</v>
      </c>
      <c r="I16" s="12">
        <f t="shared" si="1"/>
        <v>192792.59999999986</v>
      </c>
      <c r="J16" s="4"/>
    </row>
    <row r="17" spans="2:10" x14ac:dyDescent="0.2">
      <c r="B17" s="2"/>
      <c r="C17" s="5" t="s">
        <v>18</v>
      </c>
      <c r="D17" s="12">
        <f>+Hoja1!B14-D47</f>
        <v>31495581.599999979</v>
      </c>
      <c r="E17" s="12">
        <f>+Hoja1!C14-E47</f>
        <v>1005229.5000000001</v>
      </c>
      <c r="F17" s="12">
        <f>+Hoja1!D14-F47</f>
        <v>32500811.099999979</v>
      </c>
      <c r="G17" s="12">
        <f>+Hoja1!E14-G47</f>
        <v>37433817.100000001</v>
      </c>
      <c r="H17" s="12">
        <f>+Hoja1!F14-H47</f>
        <v>36428928.499999993</v>
      </c>
      <c r="I17" s="12">
        <f t="shared" si="1"/>
        <v>-4933006.0000000224</v>
      </c>
      <c r="J17" s="4"/>
    </row>
    <row r="18" spans="2:10" x14ac:dyDescent="0.2">
      <c r="B18" s="2"/>
      <c r="C18" s="5" t="s">
        <v>19</v>
      </c>
      <c r="D18" s="12">
        <f>+Hoja1!B15-D48</f>
        <v>2249285.2999999998</v>
      </c>
      <c r="E18" s="12">
        <f>+Hoja1!C15-E48</f>
        <v>391.40000000000003</v>
      </c>
      <c r="F18" s="12">
        <f>+Hoja1!D15-F48</f>
        <v>2249676.6999999997</v>
      </c>
      <c r="G18" s="12">
        <f>+Hoja1!E15-G48</f>
        <v>2336506.2000000002</v>
      </c>
      <c r="H18" s="12">
        <f>+Hoja1!F15-H48</f>
        <v>1876053.4000000001</v>
      </c>
      <c r="I18" s="12">
        <f t="shared" si="1"/>
        <v>-86829.500000000466</v>
      </c>
      <c r="J18" s="4"/>
    </row>
    <row r="19" spans="2:10" x14ac:dyDescent="0.2">
      <c r="B19" s="2"/>
      <c r="C19" s="5" t="s">
        <v>20</v>
      </c>
      <c r="D19" s="12">
        <f>+Hoja1!B16</f>
        <v>683952.7</v>
      </c>
      <c r="E19" s="12">
        <f>+Hoja1!C16</f>
        <v>49437</v>
      </c>
      <c r="F19" s="12">
        <f>+Hoja1!D16</f>
        <v>733389.7</v>
      </c>
      <c r="G19" s="12">
        <f>+Hoja1!E16</f>
        <v>384277.5</v>
      </c>
      <c r="H19" s="12">
        <f>+Hoja1!F16</f>
        <v>378589</v>
      </c>
      <c r="I19" s="12">
        <f t="shared" si="1"/>
        <v>349112.19999999995</v>
      </c>
      <c r="J19" s="4"/>
    </row>
    <row r="20" spans="2:10" x14ac:dyDescent="0.2">
      <c r="B20" s="2"/>
      <c r="C20" s="5" t="s">
        <v>21</v>
      </c>
      <c r="D20" s="12">
        <f>+Hoja1!B17</f>
        <v>328036.40000000002</v>
      </c>
      <c r="E20" s="12">
        <f>+Hoja1!C17</f>
        <v>2.5999999999985448</v>
      </c>
      <c r="F20" s="12">
        <f>+Hoja1!D17</f>
        <v>328039</v>
      </c>
      <c r="G20" s="12">
        <f>+Hoja1!E17</f>
        <v>293537.8</v>
      </c>
      <c r="H20" s="12">
        <f>+Hoja1!F17</f>
        <v>283894.90000000002</v>
      </c>
      <c r="I20" s="12">
        <f t="shared" si="1"/>
        <v>34501.200000000012</v>
      </c>
      <c r="J20" s="4"/>
    </row>
    <row r="21" spans="2:10" x14ac:dyDescent="0.2">
      <c r="B21" s="2"/>
      <c r="C21" s="5" t="s">
        <v>22</v>
      </c>
      <c r="D21" s="12">
        <f>+Hoja1!B18</f>
        <v>1641845.9</v>
      </c>
      <c r="E21" s="12">
        <f>+Hoja1!C18</f>
        <v>179966.3</v>
      </c>
      <c r="F21" s="12">
        <f>+Hoja1!D18</f>
        <v>1821812.2</v>
      </c>
      <c r="G21" s="12">
        <f>+Hoja1!E18</f>
        <v>1739741.4</v>
      </c>
      <c r="H21" s="12">
        <f>+Hoja1!F18</f>
        <v>1697880.4</v>
      </c>
      <c r="I21" s="12">
        <f t="shared" si="1"/>
        <v>82070.800000000047</v>
      </c>
      <c r="J21" s="4"/>
    </row>
    <row r="22" spans="2:10" x14ac:dyDescent="0.2">
      <c r="B22" s="2"/>
      <c r="C22" s="5" t="s">
        <v>23</v>
      </c>
      <c r="D22" s="12">
        <f>+Hoja1!B19</f>
        <v>3219691.8</v>
      </c>
      <c r="E22" s="12">
        <f>+Hoja1!C19</f>
        <v>-3219691.8</v>
      </c>
      <c r="F22" s="12">
        <f>+Hoja1!D19</f>
        <v>0</v>
      </c>
      <c r="G22" s="12">
        <f>+Hoja1!E19</f>
        <v>0</v>
      </c>
      <c r="H22" s="12">
        <f>+Hoja1!F19</f>
        <v>0</v>
      </c>
      <c r="I22" s="12">
        <f t="shared" si="1"/>
        <v>0</v>
      </c>
      <c r="J22" s="4"/>
    </row>
    <row r="23" spans="2:10" x14ac:dyDescent="0.2">
      <c r="B23" s="2"/>
      <c r="C23" s="5" t="s">
        <v>24</v>
      </c>
      <c r="D23" s="12">
        <f>+Hoja1!B20</f>
        <v>115040.6</v>
      </c>
      <c r="E23" s="12">
        <f>+Hoja1!C20</f>
        <v>48489.2</v>
      </c>
      <c r="F23" s="12">
        <f>+Hoja1!D20</f>
        <v>163529.79999999999</v>
      </c>
      <c r="G23" s="12">
        <f>+Hoja1!E20</f>
        <v>137695.29999999999</v>
      </c>
      <c r="H23" s="12">
        <f>+Hoja1!F20</f>
        <v>133922.29999999999</v>
      </c>
      <c r="I23" s="12">
        <f t="shared" si="1"/>
        <v>25834.5</v>
      </c>
      <c r="J23" s="4"/>
    </row>
    <row r="24" spans="2:10" x14ac:dyDescent="0.2">
      <c r="B24" s="2"/>
      <c r="C24" s="5" t="s">
        <v>25</v>
      </c>
      <c r="D24" s="12">
        <f>+Hoja1!B21-D54</f>
        <v>5198814.3999999994</v>
      </c>
      <c r="E24" s="12">
        <f>+Hoja1!C21-E54</f>
        <v>25037.1</v>
      </c>
      <c r="F24" s="12">
        <f>+Hoja1!D21-F54</f>
        <v>5224039.5999999987</v>
      </c>
      <c r="G24" s="12">
        <f>+Hoja1!E21-G54</f>
        <v>5497472.2999999998</v>
      </c>
      <c r="H24" s="12">
        <f>+Hoja1!F21-H54</f>
        <v>5710279.8999999994</v>
      </c>
      <c r="I24" s="12">
        <f t="shared" si="1"/>
        <v>-273432.70000000112</v>
      </c>
      <c r="J24" s="4"/>
    </row>
    <row r="25" spans="2:10" x14ac:dyDescent="0.2">
      <c r="B25" s="2"/>
      <c r="C25" s="5" t="s">
        <v>26</v>
      </c>
      <c r="D25" s="12">
        <f>+Hoja1!B22-D55</f>
        <v>6879177.3999999948</v>
      </c>
      <c r="E25" s="12">
        <f>+Hoja1!C22-E55</f>
        <v>76058.900000000373</v>
      </c>
      <c r="F25" s="12">
        <f>+Hoja1!D22-F55</f>
        <v>6955236.2999999933</v>
      </c>
      <c r="G25" s="12">
        <f>+Hoja1!E22-G55</f>
        <v>6300002.3000000007</v>
      </c>
      <c r="H25" s="12">
        <f>+Hoja1!F22-H55</f>
        <v>5437243.5</v>
      </c>
      <c r="I25" s="12">
        <f t="shared" si="1"/>
        <v>655233.99999999255</v>
      </c>
      <c r="J25" s="4"/>
    </row>
    <row r="26" spans="2:10" x14ac:dyDescent="0.2">
      <c r="B26" s="2"/>
      <c r="C26" s="5" t="s">
        <v>27</v>
      </c>
      <c r="D26" s="12">
        <f>+Hoja1!B23</f>
        <v>48470</v>
      </c>
      <c r="E26" s="12">
        <f>+Hoja1!C23</f>
        <v>60</v>
      </c>
      <c r="F26" s="12">
        <f>+Hoja1!D23</f>
        <v>48530</v>
      </c>
      <c r="G26" s="12">
        <f>+Hoja1!E23</f>
        <v>47751</v>
      </c>
      <c r="H26" s="12">
        <f>+Hoja1!F23</f>
        <v>47697.1</v>
      </c>
      <c r="I26" s="12">
        <f t="shared" si="1"/>
        <v>779</v>
      </c>
      <c r="J26" s="4"/>
    </row>
    <row r="27" spans="2:10" x14ac:dyDescent="0.2">
      <c r="B27" s="2"/>
      <c r="C27" s="5" t="s">
        <v>28</v>
      </c>
      <c r="D27" s="12">
        <f>+Hoja1!B24</f>
        <v>730725.1</v>
      </c>
      <c r="E27" s="12">
        <f>+Hoja1!C24</f>
        <v>2100.5</v>
      </c>
      <c r="F27" s="12">
        <f>+Hoja1!D24</f>
        <v>732825.59999999998</v>
      </c>
      <c r="G27" s="12">
        <f>+Hoja1!E24</f>
        <v>922091.6</v>
      </c>
      <c r="H27" s="12">
        <f>+Hoja1!F24</f>
        <v>843306.5</v>
      </c>
      <c r="I27" s="12">
        <f t="shared" si="1"/>
        <v>-189266</v>
      </c>
      <c r="J27" s="4"/>
    </row>
    <row r="28" spans="2:10" x14ac:dyDescent="0.2">
      <c r="B28" s="2"/>
      <c r="C28" s="5" t="s">
        <v>29</v>
      </c>
      <c r="D28" s="12">
        <f>+Hoja1!B25</f>
        <v>884011.5</v>
      </c>
      <c r="E28" s="12">
        <f>+Hoja1!C25</f>
        <v>3578.9</v>
      </c>
      <c r="F28" s="12">
        <f>+Hoja1!D25</f>
        <v>887590.40000000002</v>
      </c>
      <c r="G28" s="12">
        <f>+Hoja1!E25</f>
        <v>565170.5</v>
      </c>
      <c r="H28" s="12">
        <f>+Hoja1!F25</f>
        <v>501105.7</v>
      </c>
      <c r="I28" s="12">
        <f t="shared" si="1"/>
        <v>322419.90000000002</v>
      </c>
      <c r="J28" s="4"/>
    </row>
    <row r="29" spans="2:10" x14ac:dyDescent="0.2">
      <c r="B29" s="2"/>
      <c r="C29" s="5" t="s">
        <v>30</v>
      </c>
      <c r="D29" s="12">
        <f>+Hoja1!B26-D59</f>
        <v>308635.7</v>
      </c>
      <c r="E29" s="12">
        <f>+Hoja1!C26-E59</f>
        <v>14735.599999999999</v>
      </c>
      <c r="F29" s="12">
        <f>+Hoja1!D26-F59</f>
        <v>323371.3</v>
      </c>
      <c r="G29" s="12">
        <f>+Hoja1!E26-G59</f>
        <v>162409.09999999998</v>
      </c>
      <c r="H29" s="12">
        <f>+Hoja1!F26-H59</f>
        <v>155166.19999999998</v>
      </c>
      <c r="I29" s="12">
        <f t="shared" si="1"/>
        <v>160962.20000000001</v>
      </c>
      <c r="J29" s="4"/>
    </row>
    <row r="30" spans="2:10" x14ac:dyDescent="0.2">
      <c r="B30" s="2"/>
      <c r="C30" s="5" t="s">
        <v>31</v>
      </c>
      <c r="D30" s="12">
        <f>+Hoja1!B27-D60</f>
        <v>457701.8</v>
      </c>
      <c r="E30" s="12">
        <f>+Hoja1!C27-E60</f>
        <v>-78647.3</v>
      </c>
      <c r="F30" s="12">
        <f>+Hoja1!D27-F60</f>
        <v>379054.5</v>
      </c>
      <c r="G30" s="12">
        <f>+Hoja1!E27-G60</f>
        <v>353158.8</v>
      </c>
      <c r="H30" s="12">
        <f>+Hoja1!F27-H60</f>
        <v>331575.59999999998</v>
      </c>
      <c r="I30" s="12">
        <f t="shared" si="1"/>
        <v>25895.700000000012</v>
      </c>
      <c r="J30" s="4"/>
    </row>
    <row r="31" spans="2:10" x14ac:dyDescent="0.2">
      <c r="B31" s="2"/>
      <c r="C31" s="5" t="s">
        <v>32</v>
      </c>
      <c r="D31" s="12">
        <f>+Hoja1!B28-D61</f>
        <v>2248200.7999999998</v>
      </c>
      <c r="E31" s="12">
        <f>+Hoja1!C28-E61</f>
        <v>307121.69999999995</v>
      </c>
      <c r="F31" s="12">
        <f>+Hoja1!D28-F61</f>
        <v>2555322.5</v>
      </c>
      <c r="G31" s="12">
        <f>+Hoja1!E28-G61</f>
        <v>1275257.9000000001</v>
      </c>
      <c r="H31" s="12">
        <f>+Hoja1!F28-H61</f>
        <v>1176568.2000000002</v>
      </c>
      <c r="I31" s="12">
        <f t="shared" si="1"/>
        <v>1280064.5999999999</v>
      </c>
      <c r="J31" s="4"/>
    </row>
    <row r="32" spans="2:10" x14ac:dyDescent="0.2">
      <c r="B32" s="2"/>
      <c r="C32" s="5" t="s">
        <v>33</v>
      </c>
      <c r="D32" s="12">
        <f>+Hoja1!B29-D62</f>
        <v>11836253.199999999</v>
      </c>
      <c r="E32" s="12">
        <f>+Hoja1!C29-E62</f>
        <v>-244337.50000000003</v>
      </c>
      <c r="F32" s="12">
        <f>+Hoja1!D29-F62</f>
        <v>11591915.699999999</v>
      </c>
      <c r="G32" s="12">
        <f>+Hoja1!E29-G62</f>
        <v>16184117.300000001</v>
      </c>
      <c r="H32" s="12">
        <f>+Hoja1!F29-H62</f>
        <v>15935386.099999998</v>
      </c>
      <c r="I32" s="12">
        <f>+F32-G32</f>
        <v>-4592201.6000000015</v>
      </c>
      <c r="J32" s="4"/>
    </row>
    <row r="33" spans="2:10" x14ac:dyDescent="0.2">
      <c r="B33" s="2"/>
      <c r="C33" s="5" t="s">
        <v>74</v>
      </c>
      <c r="D33" s="12">
        <f>+Hoja1!B30</f>
        <v>0</v>
      </c>
      <c r="E33" s="12">
        <f>+Hoja1!C30</f>
        <v>80888.100000000006</v>
      </c>
      <c r="F33" s="12">
        <f>+Hoja1!D30</f>
        <v>80888.100000000006</v>
      </c>
      <c r="G33" s="12">
        <f>+Hoja1!E30</f>
        <v>11219.2</v>
      </c>
      <c r="H33" s="12">
        <f>+Hoja1!F30</f>
        <v>7668.4</v>
      </c>
      <c r="I33" s="12"/>
      <c r="J33" s="4"/>
    </row>
    <row r="34" spans="2:10" x14ac:dyDescent="0.2">
      <c r="B34" s="2"/>
      <c r="C34" s="5" t="s">
        <v>75</v>
      </c>
      <c r="D34" s="12">
        <f>+Hoja1!B31</f>
        <v>0</v>
      </c>
      <c r="E34" s="12">
        <f>+Hoja1!C31</f>
        <v>215988.6</v>
      </c>
      <c r="F34" s="12">
        <f>+Hoja1!D31</f>
        <v>215988.6</v>
      </c>
      <c r="G34" s="12">
        <f>+Hoja1!E31</f>
        <v>186748</v>
      </c>
      <c r="H34" s="12">
        <f>+Hoja1!F31</f>
        <v>149221.5</v>
      </c>
      <c r="I34" s="12"/>
      <c r="J34" s="4"/>
    </row>
    <row r="35" spans="2:10" x14ac:dyDescent="0.2">
      <c r="B35" s="2"/>
      <c r="C35" s="5" t="s">
        <v>76</v>
      </c>
      <c r="D35" s="12">
        <f>+Hoja1!B32</f>
        <v>0</v>
      </c>
      <c r="E35" s="12">
        <f>+Hoja1!C32</f>
        <v>121521.40000000001</v>
      </c>
      <c r="F35" s="12">
        <f>+Hoja1!D32</f>
        <v>121521.40000000001</v>
      </c>
      <c r="G35" s="12">
        <f>+Hoja1!E32</f>
        <v>147088.4</v>
      </c>
      <c r="H35" s="12">
        <f>+Hoja1!F32</f>
        <v>115639.4</v>
      </c>
      <c r="I35" s="12"/>
      <c r="J35" s="4"/>
    </row>
    <row r="36" spans="2:10" x14ac:dyDescent="0.2">
      <c r="B36" s="2"/>
      <c r="C36" s="5" t="s">
        <v>77</v>
      </c>
      <c r="D36" s="12">
        <f>+Hoja1!B33</f>
        <v>124962.6</v>
      </c>
      <c r="E36" s="12">
        <f>+Hoja1!C33</f>
        <v>43382.3</v>
      </c>
      <c r="F36" s="12">
        <f>+Hoja1!D33</f>
        <v>168344.90000000002</v>
      </c>
      <c r="G36" s="12">
        <f>+Hoja1!E33</f>
        <v>133194.6</v>
      </c>
      <c r="H36" s="12">
        <f>+Hoja1!F33</f>
        <v>131205.70000000001</v>
      </c>
      <c r="I36" s="12">
        <f t="shared" si="1"/>
        <v>35150.300000000017</v>
      </c>
      <c r="J36" s="4"/>
    </row>
    <row r="37" spans="2:10" ht="24" customHeight="1" x14ac:dyDescent="0.2">
      <c r="B37" s="2"/>
      <c r="C37" s="5" t="s">
        <v>78</v>
      </c>
      <c r="D37" s="12">
        <f>+Hoja1!B34</f>
        <v>51306.7</v>
      </c>
      <c r="E37" s="12">
        <f>+Hoja1!C34</f>
        <v>0</v>
      </c>
      <c r="F37" s="12">
        <f>+Hoja1!D34</f>
        <v>51306.7</v>
      </c>
      <c r="G37" s="12">
        <f>+Hoja1!E34</f>
        <v>44511.8</v>
      </c>
      <c r="H37" s="12">
        <f>+Hoja1!F34</f>
        <v>44511.8</v>
      </c>
      <c r="I37" s="12">
        <f t="shared" si="1"/>
        <v>6794.8999999999942</v>
      </c>
      <c r="J37" s="4"/>
    </row>
    <row r="38" spans="2:10" ht="22.5" customHeight="1" x14ac:dyDescent="0.2">
      <c r="B38" s="2"/>
      <c r="C38" s="5" t="s">
        <v>79</v>
      </c>
      <c r="D38" s="12">
        <f>+Hoja1!B36</f>
        <v>89479.9</v>
      </c>
      <c r="E38" s="12">
        <f>+Hoja1!C36</f>
        <v>0</v>
      </c>
      <c r="F38" s="12">
        <f>+Hoja1!D36</f>
        <v>89479.9</v>
      </c>
      <c r="G38" s="12">
        <f>+Hoja1!E36</f>
        <v>81003.7</v>
      </c>
      <c r="H38" s="12">
        <f>+Hoja1!F36</f>
        <v>81003.7</v>
      </c>
      <c r="I38" s="12">
        <f t="shared" si="1"/>
        <v>8476.1999999999971</v>
      </c>
      <c r="J38" s="4"/>
    </row>
    <row r="39" spans="2:10" x14ac:dyDescent="0.2">
      <c r="B39" s="2"/>
      <c r="C39" s="5" t="s">
        <v>80</v>
      </c>
      <c r="D39" s="12">
        <f>+Hoja1!B35</f>
        <v>35503.9</v>
      </c>
      <c r="E39" s="12">
        <f>+Hoja1!C35</f>
        <v>0</v>
      </c>
      <c r="F39" s="12">
        <f>+Hoja1!D35</f>
        <v>35503.9</v>
      </c>
      <c r="G39" s="12">
        <f>+Hoja1!E35</f>
        <v>29471</v>
      </c>
      <c r="H39" s="12">
        <f>+Hoja1!F35</f>
        <v>29471</v>
      </c>
      <c r="I39" s="12">
        <f t="shared" si="1"/>
        <v>6032.9000000000015</v>
      </c>
      <c r="J39" s="4"/>
    </row>
    <row r="40" spans="2:10" x14ac:dyDescent="0.2">
      <c r="B40" s="66"/>
      <c r="C40" s="67"/>
      <c r="D40" s="15"/>
      <c r="E40" s="15"/>
      <c r="F40" s="23"/>
      <c r="G40" s="15"/>
      <c r="H40" s="15"/>
      <c r="I40" s="23"/>
    </row>
    <row r="41" spans="2:10" ht="22.5" customHeight="1" x14ac:dyDescent="0.2">
      <c r="B41" s="73" t="s">
        <v>83</v>
      </c>
      <c r="C41" s="74"/>
      <c r="D41" s="22">
        <f>SUM(D43:D69)</f>
        <v>72244739.500000015</v>
      </c>
      <c r="E41" s="22">
        <f t="shared" ref="E41:I41" si="2">SUM(E43:E69)</f>
        <v>0</v>
      </c>
      <c r="F41" s="22">
        <f t="shared" si="2"/>
        <v>72244551.400000021</v>
      </c>
      <c r="G41" s="22">
        <f>SUM(G43:G69)</f>
        <v>75437320.299999997</v>
      </c>
      <c r="H41" s="22">
        <f t="shared" si="2"/>
        <v>75437320.099999994</v>
      </c>
      <c r="I41" s="22">
        <f t="shared" si="2"/>
        <v>-3192768.8999999915</v>
      </c>
    </row>
    <row r="42" spans="2:10" ht="8.1" customHeight="1" x14ac:dyDescent="0.2">
      <c r="B42" s="68"/>
      <c r="C42" s="69"/>
      <c r="D42" s="11"/>
      <c r="E42" s="11"/>
      <c r="F42" s="11"/>
      <c r="G42" s="11"/>
      <c r="H42" s="11"/>
      <c r="I42" s="11"/>
    </row>
    <row r="43" spans="2:10" x14ac:dyDescent="0.2">
      <c r="B43" s="2"/>
      <c r="C43" s="5" t="s">
        <v>14</v>
      </c>
      <c r="D43" s="12">
        <v>0</v>
      </c>
      <c r="E43" s="12">
        <v>0</v>
      </c>
      <c r="F43" s="12">
        <f>+D43+E43</f>
        <v>0</v>
      </c>
      <c r="G43" s="12">
        <v>0</v>
      </c>
      <c r="H43" s="12">
        <v>0</v>
      </c>
      <c r="I43" s="12">
        <f>+F43-G43</f>
        <v>0</v>
      </c>
    </row>
    <row r="44" spans="2:10" x14ac:dyDescent="0.2">
      <c r="B44" s="2"/>
      <c r="C44" s="5" t="s">
        <v>15</v>
      </c>
      <c r="D44" s="12">
        <f>492292.5+4877045.8+786620.3-1000000-3275330.1</f>
        <v>1880628.4999999995</v>
      </c>
      <c r="E44" s="12">
        <v>0</v>
      </c>
      <c r="F44" s="12">
        <f t="shared" ref="F44:F69" si="3">+D44+E44</f>
        <v>1880628.4999999995</v>
      </c>
      <c r="G44" s="12">
        <f>2538641.9-658013.4</f>
        <v>1880628.5</v>
      </c>
      <c r="H44" s="12">
        <f>2538641.9-658013.4</f>
        <v>1880628.5</v>
      </c>
      <c r="I44" s="12">
        <f t="shared" ref="I44:I69" si="4">+F44-G44</f>
        <v>0</v>
      </c>
    </row>
    <row r="45" spans="2:10" x14ac:dyDescent="0.2">
      <c r="B45" s="2"/>
      <c r="C45" s="5" t="s">
        <v>16</v>
      </c>
      <c r="D45" s="12">
        <v>0</v>
      </c>
      <c r="E45" s="12">
        <v>0</v>
      </c>
      <c r="F45" s="12">
        <f t="shared" si="3"/>
        <v>0</v>
      </c>
      <c r="G45" s="12">
        <f>17717872.9-13478214.1-4237220.3</f>
        <v>2438.4999999990687</v>
      </c>
      <c r="H45" s="12">
        <f>17717872.9-13478214.1-4237220.3</f>
        <v>2438.4999999990687</v>
      </c>
      <c r="I45" s="12">
        <f t="shared" si="4"/>
        <v>-2438.4999999990687</v>
      </c>
    </row>
    <row r="46" spans="2:10" x14ac:dyDescent="0.2">
      <c r="B46" s="2"/>
      <c r="C46" s="5" t="s">
        <v>17</v>
      </c>
      <c r="D46" s="12">
        <v>235986.1</v>
      </c>
      <c r="E46" s="12">
        <v>0</v>
      </c>
      <c r="F46" s="12">
        <f t="shared" si="3"/>
        <v>235986.1</v>
      </c>
      <c r="G46" s="12">
        <v>212365.5</v>
      </c>
      <c r="H46" s="12">
        <v>212365.5</v>
      </c>
      <c r="I46" s="12">
        <f t="shared" si="4"/>
        <v>23620.600000000006</v>
      </c>
    </row>
    <row r="47" spans="2:10" x14ac:dyDescent="0.2">
      <c r="B47" s="2"/>
      <c r="C47" s="5" t="s">
        <v>18</v>
      </c>
      <c r="D47" s="12">
        <f>35358890+723508.5+1313065.7+1966550.7+2127369.2-10045.4-3000-43335-323874.9+3500000-2112539.7+4500000</f>
        <v>46996589.100000009</v>
      </c>
      <c r="E47" s="12">
        <v>0</v>
      </c>
      <c r="F47" s="12">
        <f t="shared" si="3"/>
        <v>46996589.100000009</v>
      </c>
      <c r="G47" s="12">
        <v>47107637.100000001</v>
      </c>
      <c r="H47" s="12">
        <v>47107637.100000001</v>
      </c>
      <c r="I47" s="12">
        <f>+F47-G47</f>
        <v>-111047.99999999255</v>
      </c>
    </row>
    <row r="48" spans="2:10" x14ac:dyDescent="0.2">
      <c r="B48" s="2"/>
      <c r="C48" s="5" t="s">
        <v>19</v>
      </c>
      <c r="D48" s="12">
        <v>60681.599999999999</v>
      </c>
      <c r="E48" s="12">
        <v>0</v>
      </c>
      <c r="F48" s="12">
        <f t="shared" si="3"/>
        <v>60681.599999999999</v>
      </c>
      <c r="G48" s="12">
        <v>344337.3</v>
      </c>
      <c r="H48" s="12">
        <v>344337.3</v>
      </c>
      <c r="I48" s="12">
        <f t="shared" si="4"/>
        <v>-283655.7</v>
      </c>
    </row>
    <row r="49" spans="2:9" x14ac:dyDescent="0.2">
      <c r="B49" s="2"/>
      <c r="C49" s="5" t="s">
        <v>20</v>
      </c>
      <c r="D49" s="12">
        <v>0</v>
      </c>
      <c r="E49" s="12">
        <v>0</v>
      </c>
      <c r="F49" s="12">
        <f t="shared" si="3"/>
        <v>0</v>
      </c>
      <c r="G49" s="12">
        <v>0</v>
      </c>
      <c r="H49" s="12">
        <v>0</v>
      </c>
      <c r="I49" s="12">
        <f t="shared" si="4"/>
        <v>0</v>
      </c>
    </row>
    <row r="50" spans="2:9" x14ac:dyDescent="0.2">
      <c r="B50" s="2"/>
      <c r="C50" s="5" t="s">
        <v>21</v>
      </c>
      <c r="D50" s="12">
        <v>0</v>
      </c>
      <c r="E50" s="12">
        <v>0</v>
      </c>
      <c r="F50" s="12">
        <f t="shared" si="3"/>
        <v>0</v>
      </c>
      <c r="G50" s="12">
        <v>0</v>
      </c>
      <c r="H50" s="12">
        <v>0</v>
      </c>
      <c r="I50" s="12">
        <f t="shared" si="4"/>
        <v>0</v>
      </c>
    </row>
    <row r="51" spans="2:9" x14ac:dyDescent="0.2">
      <c r="B51" s="2"/>
      <c r="C51" s="5" t="s">
        <v>22</v>
      </c>
      <c r="D51" s="12">
        <v>0</v>
      </c>
      <c r="E51" s="12">
        <v>0</v>
      </c>
      <c r="F51" s="12">
        <f t="shared" si="3"/>
        <v>0</v>
      </c>
      <c r="G51" s="12">
        <v>0</v>
      </c>
      <c r="H51" s="12">
        <v>0</v>
      </c>
      <c r="I51" s="12">
        <f t="shared" si="4"/>
        <v>0</v>
      </c>
    </row>
    <row r="52" spans="2:9" x14ac:dyDescent="0.2">
      <c r="B52" s="2"/>
      <c r="C52" s="5" t="s">
        <v>23</v>
      </c>
      <c r="D52" s="12">
        <v>0</v>
      </c>
      <c r="E52" s="12">
        <v>0</v>
      </c>
      <c r="F52" s="12">
        <f t="shared" si="3"/>
        <v>0</v>
      </c>
      <c r="G52" s="12">
        <v>0</v>
      </c>
      <c r="H52" s="12">
        <v>0</v>
      </c>
      <c r="I52" s="12">
        <f t="shared" si="4"/>
        <v>0</v>
      </c>
    </row>
    <row r="53" spans="2:9" x14ac:dyDescent="0.2">
      <c r="B53" s="2"/>
      <c r="C53" s="5" t="s">
        <v>24</v>
      </c>
      <c r="D53" s="12">
        <v>0</v>
      </c>
      <c r="E53" s="12">
        <v>0</v>
      </c>
      <c r="F53" s="12">
        <f t="shared" si="3"/>
        <v>0</v>
      </c>
      <c r="G53" s="12">
        <v>0</v>
      </c>
      <c r="H53" s="12">
        <v>0</v>
      </c>
      <c r="I53" s="12">
        <f t="shared" si="4"/>
        <v>0</v>
      </c>
    </row>
    <row r="54" spans="2:9" x14ac:dyDescent="0.2">
      <c r="B54" s="2"/>
      <c r="C54" s="5" t="s">
        <v>25</v>
      </c>
      <c r="D54" s="12">
        <v>10233.5</v>
      </c>
      <c r="E54" s="12">
        <v>0</v>
      </c>
      <c r="F54" s="12">
        <v>10045.4</v>
      </c>
      <c r="G54" s="12">
        <v>10045.4</v>
      </c>
      <c r="H54" s="12">
        <v>10045.4</v>
      </c>
      <c r="I54" s="12">
        <f t="shared" si="4"/>
        <v>0</v>
      </c>
    </row>
    <row r="55" spans="2:9" x14ac:dyDescent="0.2">
      <c r="B55" s="2"/>
      <c r="C55" s="5" t="s">
        <v>26</v>
      </c>
      <c r="D55" s="12">
        <f>9351347.9+20403894.8-3500000-3500000-2667678.7</f>
        <v>20087564.000000004</v>
      </c>
      <c r="E55" s="12">
        <v>0</v>
      </c>
      <c r="F55" s="12">
        <f t="shared" si="3"/>
        <v>20087564.000000004</v>
      </c>
      <c r="G55" s="12">
        <v>20087564</v>
      </c>
      <c r="H55" s="12">
        <v>20087564</v>
      </c>
      <c r="I55" s="12">
        <f t="shared" si="4"/>
        <v>0</v>
      </c>
    </row>
    <row r="56" spans="2:9" x14ac:dyDescent="0.2">
      <c r="B56" s="2"/>
      <c r="C56" s="5" t="s">
        <v>27</v>
      </c>
      <c r="D56" s="12">
        <v>0</v>
      </c>
      <c r="E56" s="12">
        <v>0</v>
      </c>
      <c r="F56" s="12">
        <f t="shared" si="3"/>
        <v>0</v>
      </c>
      <c r="G56" s="12">
        <v>0</v>
      </c>
      <c r="H56" s="12">
        <v>0</v>
      </c>
      <c r="I56" s="12">
        <f t="shared" si="4"/>
        <v>0</v>
      </c>
    </row>
    <row r="57" spans="2:9" x14ac:dyDescent="0.2">
      <c r="B57" s="2"/>
      <c r="C57" s="5" t="s">
        <v>28</v>
      </c>
      <c r="D57" s="12">
        <v>0</v>
      </c>
      <c r="E57" s="12">
        <v>0</v>
      </c>
      <c r="F57" s="12">
        <f t="shared" si="3"/>
        <v>0</v>
      </c>
      <c r="G57" s="12">
        <v>0</v>
      </c>
      <c r="H57" s="12">
        <v>0</v>
      </c>
      <c r="I57" s="12">
        <f t="shared" si="4"/>
        <v>0</v>
      </c>
    </row>
    <row r="58" spans="2:9" x14ac:dyDescent="0.2">
      <c r="B58" s="2"/>
      <c r="C58" s="5" t="s">
        <v>29</v>
      </c>
      <c r="D58" s="12">
        <v>0</v>
      </c>
      <c r="E58" s="12">
        <v>0</v>
      </c>
      <c r="F58" s="12">
        <f t="shared" si="3"/>
        <v>0</v>
      </c>
      <c r="G58" s="12">
        <v>0</v>
      </c>
      <c r="H58" s="12">
        <v>0</v>
      </c>
      <c r="I58" s="12">
        <f t="shared" si="4"/>
        <v>0</v>
      </c>
    </row>
    <row r="59" spans="2:9" x14ac:dyDescent="0.2">
      <c r="B59" s="2"/>
      <c r="C59" s="5" t="s">
        <v>30</v>
      </c>
      <c r="D59" s="12">
        <v>3046.1</v>
      </c>
      <c r="E59" s="12">
        <v>0</v>
      </c>
      <c r="F59" s="12">
        <f t="shared" si="3"/>
        <v>3046.1</v>
      </c>
      <c r="G59" s="12">
        <v>2531.1999999999998</v>
      </c>
      <c r="H59" s="12">
        <v>2531</v>
      </c>
      <c r="I59" s="12">
        <f t="shared" si="4"/>
        <v>514.90000000000009</v>
      </c>
    </row>
    <row r="60" spans="2:9" x14ac:dyDescent="0.2">
      <c r="B60" s="2"/>
      <c r="C60" s="5" t="s">
        <v>31</v>
      </c>
      <c r="D60" s="12">
        <v>0</v>
      </c>
      <c r="E60" s="12">
        <v>0</v>
      </c>
      <c r="F60" s="12">
        <f t="shared" si="3"/>
        <v>0</v>
      </c>
      <c r="G60" s="12">
        <v>2334</v>
      </c>
      <c r="H60" s="12">
        <v>2334</v>
      </c>
      <c r="I60" s="12">
        <f t="shared" si="4"/>
        <v>-2334</v>
      </c>
    </row>
    <row r="61" spans="2:9" x14ac:dyDescent="0.2">
      <c r="B61" s="2"/>
      <c r="C61" s="5" t="s">
        <v>32</v>
      </c>
      <c r="D61" s="12">
        <v>53731.7</v>
      </c>
      <c r="E61" s="12">
        <v>0</v>
      </c>
      <c r="F61" s="12">
        <f t="shared" si="3"/>
        <v>53731.7</v>
      </c>
      <c r="G61" s="12">
        <v>63043</v>
      </c>
      <c r="H61" s="12">
        <v>63043</v>
      </c>
      <c r="I61" s="12">
        <f t="shared" si="4"/>
        <v>-9311.3000000000029</v>
      </c>
    </row>
    <row r="62" spans="2:9" x14ac:dyDescent="0.2">
      <c r="B62" s="2"/>
      <c r="C62" s="5" t="s">
        <v>33</v>
      </c>
      <c r="D62" s="12">
        <v>2916278.9</v>
      </c>
      <c r="E62" s="12">
        <v>0</v>
      </c>
      <c r="F62" s="12">
        <f t="shared" si="3"/>
        <v>2916278.9</v>
      </c>
      <c r="G62" s="12">
        <v>5724395.7999999998</v>
      </c>
      <c r="H62" s="12">
        <v>5724395.7999999998</v>
      </c>
      <c r="I62" s="12">
        <f t="shared" si="4"/>
        <v>-2808116.9</v>
      </c>
    </row>
    <row r="63" spans="2:9" x14ac:dyDescent="0.2">
      <c r="B63" s="2"/>
      <c r="C63" s="5" t="s">
        <v>74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</row>
    <row r="64" spans="2:9" x14ac:dyDescent="0.2">
      <c r="B64" s="2"/>
      <c r="C64" s="5" t="s">
        <v>75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</row>
    <row r="65" spans="2:9" x14ac:dyDescent="0.2">
      <c r="B65" s="2"/>
      <c r="C65" s="5" t="s">
        <v>76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</row>
    <row r="66" spans="2:9" x14ac:dyDescent="0.2">
      <c r="B66" s="2"/>
      <c r="C66" s="5" t="s">
        <v>82</v>
      </c>
      <c r="D66" s="12">
        <v>0</v>
      </c>
      <c r="E66" s="12">
        <v>0</v>
      </c>
      <c r="F66" s="12">
        <f t="shared" si="3"/>
        <v>0</v>
      </c>
      <c r="G66" s="12">
        <v>0</v>
      </c>
      <c r="H66" s="12">
        <v>0</v>
      </c>
      <c r="I66" s="12">
        <f t="shared" si="4"/>
        <v>0</v>
      </c>
    </row>
    <row r="67" spans="2:9" ht="16.5" x14ac:dyDescent="0.2">
      <c r="B67" s="2"/>
      <c r="C67" s="5" t="s">
        <v>78</v>
      </c>
      <c r="D67" s="12">
        <v>0</v>
      </c>
      <c r="E67" s="12">
        <v>0</v>
      </c>
      <c r="F67" s="12">
        <f t="shared" si="3"/>
        <v>0</v>
      </c>
      <c r="G67" s="12">
        <v>0</v>
      </c>
      <c r="H67" s="12">
        <v>0</v>
      </c>
      <c r="I67" s="12">
        <f t="shared" si="4"/>
        <v>0</v>
      </c>
    </row>
    <row r="68" spans="2:9" ht="16.5" x14ac:dyDescent="0.2">
      <c r="B68" s="2"/>
      <c r="C68" s="5" t="s">
        <v>79</v>
      </c>
      <c r="D68" s="12">
        <v>0</v>
      </c>
      <c r="E68" s="12">
        <v>0</v>
      </c>
      <c r="F68" s="12">
        <f t="shared" si="3"/>
        <v>0</v>
      </c>
      <c r="G68" s="12">
        <v>0</v>
      </c>
      <c r="H68" s="12">
        <v>0</v>
      </c>
      <c r="I68" s="12">
        <f t="shared" si="4"/>
        <v>0</v>
      </c>
    </row>
    <row r="69" spans="2:9" x14ac:dyDescent="0.2">
      <c r="B69" s="2"/>
      <c r="C69" s="5" t="s">
        <v>80</v>
      </c>
      <c r="D69" s="12">
        <v>0</v>
      </c>
      <c r="E69" s="12">
        <v>0</v>
      </c>
      <c r="F69" s="12">
        <f t="shared" si="3"/>
        <v>0</v>
      </c>
      <c r="G69" s="12">
        <v>0</v>
      </c>
      <c r="H69" s="12">
        <v>0</v>
      </c>
      <c r="I69" s="12">
        <f t="shared" si="4"/>
        <v>0</v>
      </c>
    </row>
    <row r="70" spans="2:9" x14ac:dyDescent="0.2">
      <c r="B70" s="64"/>
      <c r="C70" s="65"/>
      <c r="D70" s="13"/>
      <c r="E70" s="13"/>
      <c r="F70" s="13"/>
      <c r="G70" s="13"/>
      <c r="H70" s="13"/>
      <c r="I70" s="12"/>
    </row>
    <row r="71" spans="2:9" x14ac:dyDescent="0.2">
      <c r="B71" s="68" t="s">
        <v>34</v>
      </c>
      <c r="C71" s="69"/>
      <c r="D71" s="14">
        <f t="shared" ref="D71:I71" si="5">D11+D41</f>
        <v>164313657.59999996</v>
      </c>
      <c r="E71" s="14">
        <f t="shared" si="5"/>
        <v>-983082.299999999</v>
      </c>
      <c r="F71" s="14">
        <f t="shared" si="5"/>
        <v>163330575.30000001</v>
      </c>
      <c r="G71" s="14">
        <f t="shared" si="5"/>
        <v>173022554.39999998</v>
      </c>
      <c r="H71" s="14">
        <f t="shared" si="5"/>
        <v>168252045.59999999</v>
      </c>
      <c r="I71" s="14">
        <f t="shared" si="5"/>
        <v>-9765321.6000000238</v>
      </c>
    </row>
    <row r="72" spans="2:9" x14ac:dyDescent="0.2">
      <c r="B72" s="66"/>
      <c r="C72" s="67"/>
      <c r="D72" s="15"/>
      <c r="E72" s="15"/>
      <c r="F72" s="15"/>
      <c r="G72" s="15"/>
      <c r="H72" s="15"/>
      <c r="I72" s="15"/>
    </row>
    <row r="73" spans="2:9" x14ac:dyDescent="0.2">
      <c r="D73" s="7"/>
    </row>
    <row r="74" spans="2:9" x14ac:dyDescent="0.2">
      <c r="D74" s="7"/>
      <c r="E74" s="20"/>
      <c r="F74" s="20"/>
      <c r="G74" s="20"/>
      <c r="H74" s="20"/>
      <c r="I74" s="20"/>
    </row>
    <row r="75" spans="2:9" x14ac:dyDescent="0.2">
      <c r="D75" s="7"/>
      <c r="E75" s="6"/>
      <c r="F75" s="7"/>
      <c r="G75" s="16"/>
      <c r="H75" s="7"/>
      <c r="I75" s="7"/>
    </row>
    <row r="76" spans="2:9" x14ac:dyDescent="0.2">
      <c r="D76" s="7"/>
      <c r="E76" s="7"/>
      <c r="F76" s="7"/>
      <c r="G76" s="7"/>
      <c r="H76" s="7"/>
      <c r="I76" s="7"/>
    </row>
    <row r="77" spans="2:9" x14ac:dyDescent="0.2">
      <c r="C77" s="6"/>
      <c r="D77" s="7"/>
      <c r="G77" s="8"/>
      <c r="H77" s="8"/>
      <c r="I77" s="6"/>
    </row>
    <row r="78" spans="2:9" x14ac:dyDescent="0.2">
      <c r="C78" s="6"/>
      <c r="D78" s="7"/>
      <c r="G78" s="8"/>
      <c r="H78" s="8"/>
      <c r="I78" s="20"/>
    </row>
    <row r="79" spans="2:9" x14ac:dyDescent="0.2">
      <c r="C79" s="6"/>
      <c r="D79" s="7"/>
      <c r="G79" s="8"/>
      <c r="H79" s="8"/>
      <c r="I79" s="6"/>
    </row>
    <row r="80" spans="2:9" x14ac:dyDescent="0.2">
      <c r="C80" s="6"/>
      <c r="D80" s="7"/>
      <c r="G80" s="8"/>
      <c r="H80" s="8"/>
      <c r="I80" s="6"/>
    </row>
    <row r="81" spans="3:9" x14ac:dyDescent="0.2">
      <c r="C81" s="6"/>
      <c r="D81" s="7"/>
      <c r="G81" s="8"/>
      <c r="H81" s="8"/>
      <c r="I81" s="9"/>
    </row>
    <row r="82" spans="3:9" x14ac:dyDescent="0.2">
      <c r="C82" s="6"/>
      <c r="D82" s="7"/>
      <c r="G82" s="8"/>
      <c r="H82" s="8"/>
      <c r="I82" s="9"/>
    </row>
    <row r="83" spans="3:9" x14ac:dyDescent="0.2">
      <c r="C83" s="18"/>
      <c r="D83" s="7"/>
      <c r="G83" s="19"/>
      <c r="H83" s="19"/>
      <c r="I83" s="6"/>
    </row>
    <row r="84" spans="3:9" x14ac:dyDescent="0.2">
      <c r="C84" s="18"/>
      <c r="D84" s="7"/>
      <c r="G84" s="8"/>
      <c r="H84" s="8"/>
      <c r="I84" s="6"/>
    </row>
    <row r="85" spans="3:9" x14ac:dyDescent="0.2">
      <c r="C85" s="18"/>
      <c r="D85" s="7"/>
      <c r="G85" s="8"/>
      <c r="H85" s="8"/>
    </row>
    <row r="86" spans="3:9" x14ac:dyDescent="0.2">
      <c r="C86" s="24"/>
      <c r="D86" s="7"/>
      <c r="E86" s="26"/>
      <c r="F86" s="27"/>
      <c r="G86" s="25"/>
      <c r="H86" s="25"/>
      <c r="I86" s="27"/>
    </row>
    <row r="87" spans="3:9" x14ac:dyDescent="0.2">
      <c r="C87" s="6"/>
      <c r="D87" s="7"/>
      <c r="G87" s="8"/>
      <c r="H87" s="8"/>
    </row>
    <row r="88" spans="3:9" x14ac:dyDescent="0.2">
      <c r="C88" s="6"/>
      <c r="D88" s="7"/>
      <c r="G88" s="8"/>
      <c r="H88" s="8"/>
    </row>
    <row r="89" spans="3:9" x14ac:dyDescent="0.2">
      <c r="C89" s="6"/>
      <c r="D89" s="7"/>
      <c r="G89" s="8"/>
      <c r="H89" s="8"/>
    </row>
    <row r="90" spans="3:9" x14ac:dyDescent="0.2">
      <c r="C90" s="18"/>
      <c r="D90" s="7"/>
      <c r="E90" s="6"/>
      <c r="G90" s="19"/>
      <c r="H90" s="19"/>
    </row>
    <row r="91" spans="3:9" x14ac:dyDescent="0.2">
      <c r="D91" s="7"/>
    </row>
    <row r="92" spans="3:9" x14ac:dyDescent="0.2">
      <c r="D92" s="7"/>
      <c r="H92" s="17"/>
    </row>
    <row r="93" spans="3:9" x14ac:dyDescent="0.2">
      <c r="D93" s="7"/>
    </row>
    <row r="94" spans="3:9" x14ac:dyDescent="0.2">
      <c r="D94" s="7"/>
    </row>
    <row r="95" spans="3:9" x14ac:dyDescent="0.2">
      <c r="D95" s="7"/>
      <c r="E95" s="28"/>
    </row>
  </sheetData>
  <mergeCells count="19">
    <mergeCell ref="B7:I7"/>
    <mergeCell ref="D8:H8"/>
    <mergeCell ref="I8:I9"/>
    <mergeCell ref="B70:C70"/>
    <mergeCell ref="B72:C72"/>
    <mergeCell ref="B71:C71"/>
    <mergeCell ref="B1:I1"/>
    <mergeCell ref="B11:C11"/>
    <mergeCell ref="B12:C12"/>
    <mergeCell ref="B41:C41"/>
    <mergeCell ref="B42:C42"/>
    <mergeCell ref="B8:C9"/>
    <mergeCell ref="B2:I2"/>
    <mergeCell ref="B10:C10"/>
    <mergeCell ref="B40:C40"/>
    <mergeCell ref="B3:I3"/>
    <mergeCell ref="B4:I4"/>
    <mergeCell ref="B5:I5"/>
    <mergeCell ref="B6:I6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horizontalDpi="4294967294" verticalDpi="4294967294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F31" sqref="F31"/>
    </sheetView>
  </sheetViews>
  <sheetFormatPr baseColWidth="10" defaultRowHeight="12.75" x14ac:dyDescent="0.2"/>
  <cols>
    <col min="1" max="1" width="57.7109375" style="29" customWidth="1"/>
    <col min="2" max="2" width="19" style="29" customWidth="1"/>
    <col min="3" max="3" width="19.28515625" style="29" customWidth="1"/>
    <col min="4" max="4" width="18.42578125" style="29" bestFit="1" customWidth="1"/>
    <col min="5" max="5" width="15.28515625" style="29" customWidth="1"/>
    <col min="6" max="6" width="15.7109375" style="29" bestFit="1" customWidth="1"/>
    <col min="7" max="7" width="22.140625" style="29" bestFit="1" customWidth="1"/>
    <col min="8" max="16384" width="11.42578125" style="29"/>
  </cols>
  <sheetData>
    <row r="1" spans="1:7" x14ac:dyDescent="0.2">
      <c r="A1" s="92" t="s">
        <v>2</v>
      </c>
      <c r="B1" s="93"/>
      <c r="C1" s="93"/>
      <c r="D1" s="93"/>
      <c r="E1" s="93"/>
      <c r="F1" s="93"/>
      <c r="G1" s="94"/>
    </row>
    <row r="2" spans="1:7" x14ac:dyDescent="0.2">
      <c r="A2" s="95" t="s">
        <v>36</v>
      </c>
      <c r="B2" s="96"/>
      <c r="C2" s="96"/>
      <c r="D2" s="96"/>
      <c r="E2" s="96"/>
      <c r="F2" s="96"/>
      <c r="G2" s="97"/>
    </row>
    <row r="3" spans="1:7" x14ac:dyDescent="0.2">
      <c r="A3" s="95" t="s">
        <v>4</v>
      </c>
      <c r="B3" s="96"/>
      <c r="C3" s="96"/>
      <c r="D3" s="96"/>
      <c r="E3" s="96"/>
      <c r="F3" s="96"/>
      <c r="G3" s="97"/>
    </row>
    <row r="4" spans="1:7" x14ac:dyDescent="0.2">
      <c r="A4" s="95" t="s">
        <v>37</v>
      </c>
      <c r="B4" s="96"/>
      <c r="C4" s="96"/>
      <c r="D4" s="96"/>
      <c r="E4" s="96"/>
      <c r="F4" s="96"/>
      <c r="G4" s="97"/>
    </row>
    <row r="5" spans="1:7" x14ac:dyDescent="0.2">
      <c r="A5" s="95" t="s">
        <v>38</v>
      </c>
      <c r="B5" s="96"/>
      <c r="C5" s="96"/>
      <c r="D5" s="96"/>
      <c r="E5" s="96"/>
      <c r="F5" s="96"/>
      <c r="G5" s="97"/>
    </row>
    <row r="6" spans="1:7" ht="13.5" thickBot="1" x14ac:dyDescent="0.25">
      <c r="A6" s="95" t="s">
        <v>39</v>
      </c>
      <c r="B6" s="90"/>
      <c r="C6" s="90"/>
      <c r="D6" s="90"/>
      <c r="E6" s="90"/>
      <c r="F6" s="90"/>
      <c r="G6" s="91"/>
    </row>
    <row r="7" spans="1:7" ht="13.5" thickBot="1" x14ac:dyDescent="0.25">
      <c r="A7" s="30"/>
      <c r="B7" s="90" t="s">
        <v>7</v>
      </c>
      <c r="C7" s="90"/>
      <c r="D7" s="90"/>
      <c r="E7" s="90"/>
      <c r="F7" s="91"/>
      <c r="G7" s="31"/>
    </row>
    <row r="8" spans="1:7" ht="26.25" thickBot="1" x14ac:dyDescent="0.25">
      <c r="A8" s="32" t="s">
        <v>40</v>
      </c>
      <c r="B8" s="33" t="s">
        <v>41</v>
      </c>
      <c r="C8" s="34" t="s">
        <v>42</v>
      </c>
      <c r="D8" s="35" t="s">
        <v>11</v>
      </c>
      <c r="E8" s="34" t="s">
        <v>12</v>
      </c>
      <c r="F8" s="36" t="s">
        <v>13</v>
      </c>
      <c r="G8" s="37" t="s">
        <v>43</v>
      </c>
    </row>
    <row r="9" spans="1:7" ht="13.5" thickBot="1" x14ac:dyDescent="0.25">
      <c r="A9" s="38"/>
      <c r="B9" s="39">
        <v>1</v>
      </c>
      <c r="C9" s="40">
        <v>2</v>
      </c>
      <c r="D9" s="40" t="s">
        <v>44</v>
      </c>
      <c r="E9" s="40">
        <v>4</v>
      </c>
      <c r="F9" s="41"/>
      <c r="G9" s="42" t="s">
        <v>45</v>
      </c>
    </row>
    <row r="10" spans="1:7" x14ac:dyDescent="0.2">
      <c r="A10" s="43" t="s">
        <v>46</v>
      </c>
      <c r="B10" s="44">
        <v>43759.1</v>
      </c>
      <c r="C10" s="45">
        <v>1927.3</v>
      </c>
      <c r="D10" s="46">
        <f>+B10+C10</f>
        <v>45686.400000000001</v>
      </c>
      <c r="E10" s="45">
        <v>24140.400000000001</v>
      </c>
      <c r="F10" s="47">
        <v>23202</v>
      </c>
      <c r="G10" s="45">
        <f>+D10-E10</f>
        <v>21546</v>
      </c>
    </row>
    <row r="11" spans="1:7" x14ac:dyDescent="0.2">
      <c r="A11" s="43" t="s">
        <v>47</v>
      </c>
      <c r="B11" s="44">
        <f>10066634.1+351168.5+3321909.2</f>
        <v>13739711.800000001</v>
      </c>
      <c r="C11" s="48">
        <f>233195.2-183401.9</f>
        <v>49793.300000000017</v>
      </c>
      <c r="D11" s="46">
        <f>+B11+C11</f>
        <v>13789505.100000001</v>
      </c>
      <c r="E11" s="48">
        <f>9082406.3+621884.1+4029968.5</f>
        <v>13734258.9</v>
      </c>
      <c r="F11" s="49">
        <f>8785311.5+508871+3580179.2</f>
        <v>12874361.699999999</v>
      </c>
      <c r="G11" s="46">
        <f>+D11-E11</f>
        <v>55246.200000001118</v>
      </c>
    </row>
    <row r="12" spans="1:7" x14ac:dyDescent="0.2">
      <c r="A12" s="43" t="s">
        <v>48</v>
      </c>
      <c r="B12" s="44">
        <f>9272353.7+1088004.1+691593.8</f>
        <v>11051951.6</v>
      </c>
      <c r="C12" s="48">
        <f>550468.5-279502.3+19476.2</f>
        <v>290442.40000000002</v>
      </c>
      <c r="D12" s="46">
        <f t="shared" ref="D12:D36" si="0">+B12+C12</f>
        <v>11342394</v>
      </c>
      <c r="E12" s="50">
        <f>8185524.3+1141487.6+1778550.7</f>
        <v>11105562.6</v>
      </c>
      <c r="F12" s="51">
        <f>7612998+1009239.1+1383860.8</f>
        <v>10006097.9</v>
      </c>
      <c r="G12" s="46">
        <f>+D12-E12-F12</f>
        <v>-9769266.5</v>
      </c>
    </row>
    <row r="13" spans="1:7" x14ac:dyDescent="0.2">
      <c r="A13" s="43" t="s">
        <v>49</v>
      </c>
      <c r="B13" s="44">
        <f>159947.8+386046.4+177438.7</f>
        <v>723432.89999999991</v>
      </c>
      <c r="C13" s="48">
        <f>14376.5-2162.6+31228.3</f>
        <v>43442.2</v>
      </c>
      <c r="D13" s="46">
        <f t="shared" si="0"/>
        <v>766875.09999999986</v>
      </c>
      <c r="E13" s="50">
        <f>156585.1+355104.3+38772.5</f>
        <v>550461.9</v>
      </c>
      <c r="F13" s="51">
        <f>152169.7+343801.1+14206.8</f>
        <v>510177.6</v>
      </c>
      <c r="G13" s="46">
        <f t="shared" ref="G13:G36" si="1">+D13-E13</f>
        <v>216413.19999999984</v>
      </c>
    </row>
    <row r="14" spans="1:7" x14ac:dyDescent="0.2">
      <c r="A14" s="43" t="s">
        <v>50</v>
      </c>
      <c r="B14" s="44">
        <f>40512668.8+36484859+0.2+1494642.6+0.1</f>
        <v>78492170.699999988</v>
      </c>
      <c r="C14" s="50">
        <f>2874846-2036235.7+183045.3-16426.2+0.1</f>
        <v>1005229.5000000001</v>
      </c>
      <c r="D14" s="46">
        <f t="shared" si="0"/>
        <v>79497400.199999988</v>
      </c>
      <c r="E14" s="50">
        <f>45295642.3+37619601+1626210.9</f>
        <v>84541454.200000003</v>
      </c>
      <c r="F14" s="51">
        <f>45295645.3+36607950.5+1632969.8</f>
        <v>83536565.599999994</v>
      </c>
      <c r="G14" s="46">
        <f t="shared" si="1"/>
        <v>-5044054.0000000149</v>
      </c>
    </row>
    <row r="15" spans="1:7" x14ac:dyDescent="0.2">
      <c r="A15" s="43" t="s">
        <v>51</v>
      </c>
      <c r="B15" s="44">
        <f>312076.7+33564.1+1964326.1</f>
        <v>2309966.9</v>
      </c>
      <c r="C15" s="48">
        <f>697.1-305.7</f>
        <v>391.40000000000003</v>
      </c>
      <c r="D15" s="46">
        <f t="shared" si="0"/>
        <v>2310358.2999999998</v>
      </c>
      <c r="E15" s="48">
        <f>278152.3+34669.3+2368021.9</f>
        <v>2680843.5</v>
      </c>
      <c r="F15" s="51">
        <f>277440.9+33094.1+1909855.7</f>
        <v>2220390.7000000002</v>
      </c>
      <c r="G15" s="46">
        <f t="shared" si="1"/>
        <v>-370485.20000000019</v>
      </c>
    </row>
    <row r="16" spans="1:7" x14ac:dyDescent="0.2">
      <c r="A16" s="43" t="s">
        <v>52</v>
      </c>
      <c r="B16" s="44">
        <f>169915.2+109873.7+404163.8</f>
        <v>683952.7</v>
      </c>
      <c r="C16" s="48">
        <f>58922-9485</f>
        <v>49437</v>
      </c>
      <c r="D16" s="46">
        <f t="shared" si="0"/>
        <v>733389.7</v>
      </c>
      <c r="E16" s="48">
        <f>199191.1+136755.4+48331</f>
        <v>384277.5</v>
      </c>
      <c r="F16" s="51">
        <f>190135+134277.2+54176.8</f>
        <v>378589</v>
      </c>
      <c r="G16" s="46">
        <f t="shared" si="1"/>
        <v>349112.19999999995</v>
      </c>
    </row>
    <row r="17" spans="1:7" x14ac:dyDescent="0.2">
      <c r="A17" s="43" t="s">
        <v>53</v>
      </c>
      <c r="B17" s="44">
        <f>267469.2+60567.2</f>
        <v>328036.40000000002</v>
      </c>
      <c r="C17" s="48">
        <f>21295.3-21292.7</f>
        <v>2.5999999999985448</v>
      </c>
      <c r="D17" s="46">
        <f t="shared" si="0"/>
        <v>328039</v>
      </c>
      <c r="E17" s="50">
        <f>232979.5+60558.3</f>
        <v>293537.8</v>
      </c>
      <c r="F17" s="51">
        <f>228203.5+55691.4</f>
        <v>283894.90000000002</v>
      </c>
      <c r="G17" s="46">
        <f t="shared" si="1"/>
        <v>34501.200000000012</v>
      </c>
    </row>
    <row r="18" spans="1:7" x14ac:dyDescent="0.2">
      <c r="A18" s="43" t="s">
        <v>54</v>
      </c>
      <c r="B18" s="44">
        <f>361624.8+349104+931117.1</f>
        <v>1641845.9</v>
      </c>
      <c r="C18" s="50">
        <f>69239.2-304.8+111031.9</f>
        <v>179966.3</v>
      </c>
      <c r="D18" s="46">
        <f t="shared" si="0"/>
        <v>1821812.2</v>
      </c>
      <c r="E18" s="50">
        <f>399641.1+535751.3+804349</f>
        <v>1739741.4</v>
      </c>
      <c r="F18" s="51">
        <f>396540.3+512452.2+788887.9</f>
        <v>1697880.4</v>
      </c>
      <c r="G18" s="46">
        <f t="shared" si="1"/>
        <v>82070.800000000047</v>
      </c>
    </row>
    <row r="19" spans="1:7" x14ac:dyDescent="0.2">
      <c r="A19" s="43" t="s">
        <v>55</v>
      </c>
      <c r="B19" s="46">
        <f>3024811.5+194880.3</f>
        <v>3219691.8</v>
      </c>
      <c r="C19" s="50">
        <v>-3219691.8</v>
      </c>
      <c r="D19" s="46">
        <f t="shared" si="0"/>
        <v>0</v>
      </c>
      <c r="E19" s="48">
        <v>0</v>
      </c>
      <c r="F19" s="51">
        <v>0</v>
      </c>
      <c r="G19" s="46">
        <f t="shared" si="1"/>
        <v>0</v>
      </c>
    </row>
    <row r="20" spans="1:7" x14ac:dyDescent="0.2">
      <c r="A20" s="43" t="s">
        <v>56</v>
      </c>
      <c r="B20" s="44">
        <v>115040.6</v>
      </c>
      <c r="C20" s="48">
        <f>52051.2-3562</f>
        <v>48489.2</v>
      </c>
      <c r="D20" s="46">
        <f t="shared" si="0"/>
        <v>163529.79999999999</v>
      </c>
      <c r="E20" s="48">
        <v>137695.29999999999</v>
      </c>
      <c r="F20" s="51">
        <v>133922.29999999999</v>
      </c>
      <c r="G20" s="46">
        <f t="shared" si="1"/>
        <v>25834.5</v>
      </c>
    </row>
    <row r="21" spans="1:7" x14ac:dyDescent="0.2">
      <c r="A21" s="43" t="s">
        <v>57</v>
      </c>
      <c r="B21" s="44">
        <f>334051.6+102344.7+4772651.6</f>
        <v>5209047.8999999994</v>
      </c>
      <c r="C21" s="48">
        <f>2109.6-2109.6+25037.1</f>
        <v>25037.1</v>
      </c>
      <c r="D21" s="46">
        <f t="shared" si="0"/>
        <v>5234084.9999999991</v>
      </c>
      <c r="E21" s="48">
        <f>308177.9+102016.6+5097323.2</f>
        <v>5507517.7000000002</v>
      </c>
      <c r="F21" s="51">
        <f>304851.5+95070.1+5320403.7</f>
        <v>5720325.2999999998</v>
      </c>
      <c r="G21" s="46">
        <f t="shared" si="1"/>
        <v>-273432.70000000112</v>
      </c>
    </row>
    <row r="22" spans="1:7" x14ac:dyDescent="0.2">
      <c r="A22" s="43" t="s">
        <v>58</v>
      </c>
      <c r="B22" s="44">
        <v>26966741.399999999</v>
      </c>
      <c r="C22" s="48">
        <f>56483.7-11758.6+9075371.8-9044038</f>
        <v>76058.900000000373</v>
      </c>
      <c r="D22" s="46">
        <f t="shared" si="0"/>
        <v>27042800.299999997</v>
      </c>
      <c r="E22" s="48">
        <f>106605+25245644.8+1035316.5</f>
        <v>26387566.300000001</v>
      </c>
      <c r="F22" s="51">
        <f>64611.2+24480919.2+979277.1</f>
        <v>25524807.5</v>
      </c>
      <c r="G22" s="46">
        <f t="shared" si="1"/>
        <v>655233.99999999627</v>
      </c>
    </row>
    <row r="23" spans="1:7" x14ac:dyDescent="0.2">
      <c r="A23" s="43" t="s">
        <v>59</v>
      </c>
      <c r="B23" s="44">
        <v>48470</v>
      </c>
      <c r="C23" s="48">
        <f>395.3-335.3</f>
        <v>60</v>
      </c>
      <c r="D23" s="46">
        <f t="shared" si="0"/>
        <v>48530</v>
      </c>
      <c r="E23" s="48">
        <v>47751</v>
      </c>
      <c r="F23" s="51">
        <v>47697.1</v>
      </c>
      <c r="G23" s="46">
        <f t="shared" si="1"/>
        <v>779</v>
      </c>
    </row>
    <row r="24" spans="1:7" x14ac:dyDescent="0.2">
      <c r="A24" s="43" t="s">
        <v>60</v>
      </c>
      <c r="B24" s="44">
        <v>730725.1</v>
      </c>
      <c r="C24" s="48">
        <f>76836.8-74736.3</f>
        <v>2100.5</v>
      </c>
      <c r="D24" s="46">
        <f t="shared" si="0"/>
        <v>732825.59999999998</v>
      </c>
      <c r="E24" s="48">
        <v>922091.6</v>
      </c>
      <c r="F24" s="51">
        <v>843306.5</v>
      </c>
      <c r="G24" s="46">
        <f t="shared" si="1"/>
        <v>-189266</v>
      </c>
    </row>
    <row r="25" spans="1:7" x14ac:dyDescent="0.2">
      <c r="A25" s="43" t="s">
        <v>61</v>
      </c>
      <c r="B25" s="44">
        <f>259856.7+267399.6+356755.2</f>
        <v>884011.5</v>
      </c>
      <c r="C25" s="48">
        <f>4576.8-997.9</f>
        <v>3578.9</v>
      </c>
      <c r="D25" s="46">
        <f t="shared" si="0"/>
        <v>887590.40000000002</v>
      </c>
      <c r="E25" s="48">
        <f>213442.4+267399.6+84328.5</f>
        <v>565170.5</v>
      </c>
      <c r="F25" s="51">
        <f>209849.4+250698.9+40557.4</f>
        <v>501105.7</v>
      </c>
      <c r="G25" s="46">
        <f t="shared" si="1"/>
        <v>322419.90000000002</v>
      </c>
    </row>
    <row r="26" spans="1:7" x14ac:dyDescent="0.2">
      <c r="A26" s="43" t="s">
        <v>62</v>
      </c>
      <c r="B26" s="44">
        <f>84432.2+38353.6+188896</f>
        <v>311681.8</v>
      </c>
      <c r="C26" s="48">
        <f>17127.6-2392</f>
        <v>14735.599999999999</v>
      </c>
      <c r="D26" s="46">
        <f t="shared" si="0"/>
        <v>326417.39999999997</v>
      </c>
      <c r="E26" s="48">
        <f>86978.9+54004.9+23956.5</f>
        <v>164940.29999999999</v>
      </c>
      <c r="F26" s="51">
        <f>85028+51130.9+21538.3</f>
        <v>157697.19999999998</v>
      </c>
      <c r="G26" s="46">
        <f t="shared" si="1"/>
        <v>161477.09999999998</v>
      </c>
    </row>
    <row r="27" spans="1:7" x14ac:dyDescent="0.2">
      <c r="A27" s="43" t="s">
        <v>63</v>
      </c>
      <c r="B27" s="44">
        <v>457701.8</v>
      </c>
      <c r="C27" s="48">
        <f>46173.2-151209+26388.5</f>
        <v>-78647.3</v>
      </c>
      <c r="D27" s="46">
        <f t="shared" si="0"/>
        <v>379054.5</v>
      </c>
      <c r="E27" s="48">
        <f>329104.3+26388.5</f>
        <v>355492.8</v>
      </c>
      <c r="F27" s="51">
        <f>307521.1+26388.5</f>
        <v>333909.59999999998</v>
      </c>
      <c r="G27" s="46">
        <f t="shared" si="1"/>
        <v>23561.700000000012</v>
      </c>
    </row>
    <row r="28" spans="1:7" x14ac:dyDescent="0.2">
      <c r="A28" s="43" t="s">
        <v>64</v>
      </c>
      <c r="B28" s="44">
        <f>1035664.8+1266267.7</f>
        <v>2301932.5</v>
      </c>
      <c r="C28" s="48">
        <f>494450.1-187328.4</f>
        <v>307121.69999999995</v>
      </c>
      <c r="D28" s="46">
        <f t="shared" si="0"/>
        <v>2609054.2000000002</v>
      </c>
      <c r="E28" s="48">
        <f>1201368.3+136932.6</f>
        <v>1338300.9000000001</v>
      </c>
      <c r="F28" s="51">
        <f>1130152.1+109459.1</f>
        <v>1239611.2000000002</v>
      </c>
      <c r="G28" s="46">
        <f t="shared" si="1"/>
        <v>1270753.3</v>
      </c>
    </row>
    <row r="29" spans="1:7" x14ac:dyDescent="0.2">
      <c r="A29" s="43" t="s">
        <v>65</v>
      </c>
      <c r="B29" s="44">
        <v>14752532.1</v>
      </c>
      <c r="C29" s="48">
        <f>44634.6-354747.2+239222.1-173447</f>
        <v>-244337.50000000003</v>
      </c>
      <c r="D29" s="46">
        <f t="shared" si="0"/>
        <v>14508194.6</v>
      </c>
      <c r="E29" s="48">
        <f>830219.8+2913621.5+18164671.8</f>
        <v>21908513.100000001</v>
      </c>
      <c r="F29" s="51">
        <f>830215.6+2033726.1+18795840.2</f>
        <v>21659781.899999999</v>
      </c>
      <c r="G29" s="46">
        <f t="shared" si="1"/>
        <v>-7400318.5000000019</v>
      </c>
    </row>
    <row r="30" spans="1:7" x14ac:dyDescent="0.2">
      <c r="A30" s="43" t="s">
        <v>66</v>
      </c>
      <c r="B30" s="44"/>
      <c r="C30" s="48">
        <f>81278.1-390</f>
        <v>80888.100000000006</v>
      </c>
      <c r="D30" s="46">
        <f t="shared" si="0"/>
        <v>80888.100000000006</v>
      </c>
      <c r="E30" s="48">
        <v>11219.2</v>
      </c>
      <c r="F30" s="51">
        <v>7668.4</v>
      </c>
      <c r="G30" s="46">
        <f t="shared" si="1"/>
        <v>69668.900000000009</v>
      </c>
    </row>
    <row r="31" spans="1:7" x14ac:dyDescent="0.2">
      <c r="A31" s="43" t="s">
        <v>67</v>
      </c>
      <c r="B31" s="44"/>
      <c r="C31" s="48">
        <f>216594-605.4</f>
        <v>215988.6</v>
      </c>
      <c r="D31" s="46">
        <f t="shared" si="0"/>
        <v>215988.6</v>
      </c>
      <c r="E31" s="48">
        <v>186748</v>
      </c>
      <c r="F31" s="51">
        <v>149221.5</v>
      </c>
      <c r="G31" s="46">
        <f t="shared" si="1"/>
        <v>29240.600000000006</v>
      </c>
    </row>
    <row r="32" spans="1:7" x14ac:dyDescent="0.2">
      <c r="A32" s="43" t="s">
        <v>68</v>
      </c>
      <c r="B32" s="44"/>
      <c r="C32" s="48">
        <f>121875.8-354.4</f>
        <v>121521.40000000001</v>
      </c>
      <c r="D32" s="46">
        <f t="shared" si="0"/>
        <v>121521.40000000001</v>
      </c>
      <c r="E32" s="48">
        <v>147088.4</v>
      </c>
      <c r="F32" s="51">
        <v>115639.4</v>
      </c>
      <c r="G32" s="46">
        <f t="shared" si="1"/>
        <v>-25566.999999999985</v>
      </c>
    </row>
    <row r="33" spans="1:8" x14ac:dyDescent="0.2">
      <c r="A33" s="43" t="s">
        <v>69</v>
      </c>
      <c r="B33" s="44">
        <v>124962.6</v>
      </c>
      <c r="C33" s="46">
        <f>44141.9-759.6</f>
        <v>43382.3</v>
      </c>
      <c r="D33" s="46">
        <f t="shared" si="0"/>
        <v>168344.90000000002</v>
      </c>
      <c r="E33" s="46">
        <v>133194.6</v>
      </c>
      <c r="F33" s="51">
        <v>131205.70000000001</v>
      </c>
      <c r="G33" s="46">
        <f t="shared" si="1"/>
        <v>35150.300000000017</v>
      </c>
    </row>
    <row r="34" spans="1:8" x14ac:dyDescent="0.2">
      <c r="A34" s="43" t="s">
        <v>70</v>
      </c>
      <c r="B34" s="44">
        <v>51306.7</v>
      </c>
      <c r="C34" s="46">
        <v>0</v>
      </c>
      <c r="D34" s="46">
        <f t="shared" si="0"/>
        <v>51306.7</v>
      </c>
      <c r="E34" s="46">
        <v>44511.8</v>
      </c>
      <c r="F34" s="51">
        <v>44511.8</v>
      </c>
      <c r="G34" s="46">
        <f t="shared" si="1"/>
        <v>6794.8999999999942</v>
      </c>
    </row>
    <row r="35" spans="1:8" x14ac:dyDescent="0.2">
      <c r="A35" s="43" t="s">
        <v>71</v>
      </c>
      <c r="B35" s="44">
        <v>35503.9</v>
      </c>
      <c r="C35" s="46">
        <v>0</v>
      </c>
      <c r="D35" s="46">
        <f t="shared" si="0"/>
        <v>35503.9</v>
      </c>
      <c r="E35" s="46">
        <v>29471</v>
      </c>
      <c r="F35" s="51">
        <v>29471</v>
      </c>
      <c r="G35" s="46">
        <f t="shared" si="1"/>
        <v>6032.9000000000015</v>
      </c>
    </row>
    <row r="36" spans="1:8" x14ac:dyDescent="0.2">
      <c r="A36" s="52" t="s">
        <v>72</v>
      </c>
      <c r="B36" s="44">
        <v>89479.9</v>
      </c>
      <c r="C36" s="46">
        <f>2717.6-2717.6</f>
        <v>0</v>
      </c>
      <c r="D36" s="46">
        <f t="shared" si="0"/>
        <v>89479.9</v>
      </c>
      <c r="E36" s="46">
        <v>81003.7</v>
      </c>
      <c r="F36" s="51">
        <v>81003.7</v>
      </c>
      <c r="G36" s="46">
        <f t="shared" si="1"/>
        <v>8476.1999999999971</v>
      </c>
      <c r="H36" s="53"/>
    </row>
    <row r="37" spans="1:8" ht="13.5" thickBot="1" x14ac:dyDescent="0.25">
      <c r="A37" s="43"/>
      <c r="B37" s="44"/>
      <c r="C37" s="46"/>
      <c r="D37" s="46"/>
      <c r="E37" s="46"/>
      <c r="F37" s="51"/>
      <c r="G37" s="46"/>
    </row>
    <row r="38" spans="1:8" ht="13.5" thickBot="1" x14ac:dyDescent="0.25">
      <c r="A38" s="54" t="s">
        <v>73</v>
      </c>
      <c r="B38" s="55">
        <f t="shared" ref="B38:G38" si="2">SUM(B10:B37)</f>
        <v>164313657.60000002</v>
      </c>
      <c r="C38" s="55">
        <f t="shared" si="2"/>
        <v>-983082.299999999</v>
      </c>
      <c r="D38" s="55">
        <f t="shared" si="2"/>
        <v>163330575.29999995</v>
      </c>
      <c r="E38" s="55">
        <f t="shared" si="2"/>
        <v>173022554.40000001</v>
      </c>
      <c r="F38" s="56">
        <f t="shared" si="2"/>
        <v>168252045.59999996</v>
      </c>
      <c r="G38" s="55">
        <f t="shared" si="2"/>
        <v>-19698077.000000026</v>
      </c>
    </row>
    <row r="39" spans="1:8" x14ac:dyDescent="0.2">
      <c r="A39" s="57"/>
      <c r="B39" s="57"/>
      <c r="C39" s="57"/>
      <c r="D39" s="57"/>
      <c r="E39" s="57"/>
      <c r="F39" s="58"/>
      <c r="G39" s="57"/>
    </row>
    <row r="40" spans="1:8" x14ac:dyDescent="0.2">
      <c r="A40" s="57"/>
      <c r="B40" s="59"/>
      <c r="C40" s="10">
        <v>-1058664.2999999991</v>
      </c>
      <c r="D40" s="57"/>
      <c r="E40" s="58"/>
      <c r="F40" s="58"/>
      <c r="G40" s="57"/>
    </row>
    <row r="41" spans="1:8" x14ac:dyDescent="0.2">
      <c r="C41" s="53"/>
      <c r="D41" s="60"/>
      <c r="E41" s="61"/>
    </row>
    <row r="42" spans="1:8" x14ac:dyDescent="0.2">
      <c r="C42" s="53">
        <f>+C38+C40</f>
        <v>-2041746.5999999982</v>
      </c>
      <c r="D42" s="60"/>
    </row>
    <row r="43" spans="1:8" x14ac:dyDescent="0.2">
      <c r="D43" s="60"/>
    </row>
    <row r="45" spans="1:8" x14ac:dyDescent="0.2">
      <c r="E45" s="62"/>
    </row>
    <row r="46" spans="1:8" x14ac:dyDescent="0.2">
      <c r="E46" s="60"/>
    </row>
    <row r="47" spans="1:8" x14ac:dyDescent="0.2">
      <c r="E47" s="60"/>
    </row>
    <row r="48" spans="1:8" x14ac:dyDescent="0.2">
      <c r="E48" s="60"/>
    </row>
    <row r="49" spans="5:7" x14ac:dyDescent="0.2">
      <c r="E49" s="60"/>
      <c r="F49" s="60"/>
      <c r="G49" s="60"/>
    </row>
    <row r="50" spans="5:7" x14ac:dyDescent="0.2">
      <c r="E50" s="62"/>
      <c r="F50" s="60"/>
      <c r="G50" s="60"/>
    </row>
    <row r="51" spans="5:7" x14ac:dyDescent="0.2">
      <c r="E51" s="60"/>
      <c r="F51" s="60"/>
      <c r="G51" s="60"/>
    </row>
    <row r="52" spans="5:7" x14ac:dyDescent="0.2">
      <c r="E52" s="60"/>
      <c r="F52" s="60"/>
      <c r="G52" s="60"/>
    </row>
    <row r="53" spans="5:7" x14ac:dyDescent="0.2">
      <c r="E53" s="60"/>
      <c r="F53" s="60"/>
      <c r="G53" s="60"/>
    </row>
    <row r="54" spans="5:7" x14ac:dyDescent="0.2">
      <c r="E54" s="60"/>
      <c r="F54" s="60"/>
      <c r="G54" s="60"/>
    </row>
    <row r="55" spans="5:7" x14ac:dyDescent="0.2">
      <c r="E55" s="60"/>
      <c r="F55" s="60"/>
      <c r="G55" s="60"/>
    </row>
    <row r="56" spans="5:7" x14ac:dyDescent="0.2">
      <c r="E56" s="60"/>
      <c r="F56" s="60"/>
      <c r="G56" s="60"/>
    </row>
    <row r="57" spans="5:7" x14ac:dyDescent="0.2">
      <c r="E57" s="60"/>
      <c r="F57" s="60"/>
      <c r="G57" s="60"/>
    </row>
    <row r="58" spans="5:7" x14ac:dyDescent="0.2">
      <c r="E58" s="60"/>
      <c r="F58" s="60"/>
      <c r="G58" s="60"/>
    </row>
    <row r="59" spans="5:7" x14ac:dyDescent="0.2">
      <c r="E59" s="60"/>
      <c r="F59" s="60"/>
      <c r="G59" s="60"/>
    </row>
    <row r="63" spans="5:7" x14ac:dyDescent="0.2">
      <c r="E63" s="63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6b</vt:lpstr>
      <vt:lpstr>Hoja1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User</cp:lastModifiedBy>
  <cp:revision/>
  <cp:lastPrinted>2018-02-16T22:18:02Z</cp:lastPrinted>
  <dcterms:created xsi:type="dcterms:W3CDTF">2016-10-11T17:36:10Z</dcterms:created>
  <dcterms:modified xsi:type="dcterms:W3CDTF">2018-02-17T03:07:47Z</dcterms:modified>
</cp:coreProperties>
</file>